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231(議会)総務課\☆庁舎管理\003- 警備清掃等委託◆（５年周期）\R3（入札年度）\入札\01事前伺い\01入札公告・スケジュール\調査課HP依頼\"/>
    </mc:Choice>
  </mc:AlternateContent>
  <bookViews>
    <workbookView xWindow="7665" yWindow="-15" windowWidth="7650" windowHeight="8520" tabRatio="845" firstSheet="4" activeTab="4"/>
  </bookViews>
  <sheets>
    <sheet name="積算書" sheetId="26" state="hidden" r:id="rId1"/>
    <sheet name="積算書 (田川)未修正" sheetId="27" state="hidden" r:id="rId2"/>
    <sheet name="積算書 (直方・飯塚)未修正" sheetId="28" state="hidden" r:id="rId3"/>
    <sheet name="別紙" sheetId="25" state="hidden" r:id="rId4"/>
    <sheet name="内訳" sheetId="30" r:id="rId5"/>
    <sheet name="歩掛" sheetId="23" state="hidden" r:id="rId6"/>
    <sheet name="設計書 長期契約換算" sheetId="21" state="hidden" r:id="rId7"/>
  </sheets>
  <definedNames>
    <definedName name="_xlnm.Print_Area" localSheetId="0">積算書!$B$1:$G$90</definedName>
    <definedName name="_xlnm.Print_Area" localSheetId="2">'積算書 (直方・飯塚)未修正'!$B$1:$G$96</definedName>
    <definedName name="_xlnm.Print_Area" localSheetId="1">'積算書 (田川)未修正'!$B$1:$G$93</definedName>
    <definedName name="_xlnm.Print_Area" localSheetId="6">'設計書 長期契約換算'!$A$1:$F$25</definedName>
    <definedName name="_xlnm.Print_Area" localSheetId="4">内訳!$A$1:$H$46</definedName>
    <definedName name="_xlnm.Print_Area" localSheetId="3">別紙!$A$1:$I$28</definedName>
    <definedName name="_xlnm.Print_Area">#REF!</definedName>
    <definedName name="_xlnm.Print_Titles">#N/A</definedName>
  </definedNames>
  <calcPr calcId="152511"/>
</workbook>
</file>

<file path=xl/calcChain.xml><?xml version="1.0" encoding="utf-8"?>
<calcChain xmlns="http://schemas.openxmlformats.org/spreadsheetml/2006/main">
  <c r="F26" i="30" l="1"/>
  <c r="F29" i="30"/>
  <c r="F32" i="30"/>
  <c r="F36" i="30"/>
  <c r="F40" i="30"/>
  <c r="K25" i="26" l="1"/>
  <c r="F13" i="21" l="1"/>
  <c r="E13" i="21"/>
  <c r="A1" i="21"/>
  <c r="C28" i="25"/>
  <c r="C26" i="25"/>
  <c r="O22" i="25"/>
  <c r="D22" i="25"/>
  <c r="O21" i="25"/>
  <c r="M21" i="25"/>
  <c r="C21" i="25"/>
  <c r="C20" i="25"/>
  <c r="O19" i="25"/>
  <c r="C13" i="25"/>
  <c r="O12" i="25"/>
  <c r="B11" i="25"/>
  <c r="F88" i="28"/>
  <c r="E88" i="28"/>
  <c r="M85" i="28"/>
  <c r="F85" i="28"/>
  <c r="F81" i="28"/>
  <c r="K80" i="28"/>
  <c r="F80" i="28"/>
  <c r="O79" i="28"/>
  <c r="M79" i="28"/>
  <c r="F79" i="28"/>
  <c r="E79" i="28"/>
  <c r="M74" i="28"/>
  <c r="F74" i="28"/>
  <c r="M69" i="28"/>
  <c r="F69" i="28"/>
  <c r="F65" i="28"/>
  <c r="M64" i="28"/>
  <c r="K64" i="28"/>
  <c r="E64" i="28"/>
  <c r="M63" i="28"/>
  <c r="F63" i="28"/>
  <c r="E62" i="28"/>
  <c r="F51" i="28"/>
  <c r="M50" i="28"/>
  <c r="E50" i="28"/>
  <c r="K49" i="28"/>
  <c r="F49" i="28"/>
  <c r="K48" i="28"/>
  <c r="O47" i="28"/>
  <c r="M47" i="28"/>
  <c r="K47" i="28"/>
  <c r="F47" i="28"/>
  <c r="E47" i="28"/>
  <c r="F45" i="28"/>
  <c r="M44" i="28"/>
  <c r="E44" i="28"/>
  <c r="K23" i="28"/>
  <c r="K11" i="28"/>
  <c r="F12" i="28" s="1"/>
  <c r="G10" i="28"/>
  <c r="K8" i="28"/>
  <c r="K86" i="28" s="1"/>
  <c r="K7" i="28"/>
  <c r="K25" i="28" s="1"/>
  <c r="F24" i="28" s="1"/>
  <c r="K6" i="28"/>
  <c r="E11" i="28" s="1"/>
  <c r="K5" i="28"/>
  <c r="F10" i="28" s="1"/>
  <c r="F85" i="27"/>
  <c r="E85" i="27"/>
  <c r="M82" i="27"/>
  <c r="F82" i="27"/>
  <c r="F78" i="27"/>
  <c r="K77" i="27"/>
  <c r="F77" i="27"/>
  <c r="O76" i="27"/>
  <c r="M76" i="27"/>
  <c r="F76" i="27"/>
  <c r="E76" i="27"/>
  <c r="M71" i="27"/>
  <c r="F71" i="27"/>
  <c r="M66" i="27"/>
  <c r="F66" i="27"/>
  <c r="F62" i="27"/>
  <c r="M61" i="27"/>
  <c r="K61" i="27"/>
  <c r="E61" i="27"/>
  <c r="M60" i="27"/>
  <c r="F60" i="27"/>
  <c r="E59" i="27"/>
  <c r="F48" i="27"/>
  <c r="M47" i="27"/>
  <c r="E47" i="27"/>
  <c r="K46" i="27"/>
  <c r="F46" i="27"/>
  <c r="K45" i="27"/>
  <c r="O44" i="27"/>
  <c r="M44" i="27"/>
  <c r="K44" i="27"/>
  <c r="F44" i="27"/>
  <c r="E44" i="27"/>
  <c r="F42" i="27"/>
  <c r="M41" i="27"/>
  <c r="E41" i="27"/>
  <c r="K23" i="27"/>
  <c r="K11" i="27"/>
  <c r="F12" i="27" s="1"/>
  <c r="G10" i="27"/>
  <c r="K8" i="27"/>
  <c r="K83" i="27" s="1"/>
  <c r="K84" i="27" s="1"/>
  <c r="K7" i="27"/>
  <c r="K6" i="27"/>
  <c r="E11" i="27" s="1"/>
  <c r="K5" i="27"/>
  <c r="E10" i="27" s="1"/>
  <c r="F82" i="26"/>
  <c r="E82" i="26"/>
  <c r="M79" i="26"/>
  <c r="F79" i="26"/>
  <c r="F75" i="26"/>
  <c r="K74" i="26"/>
  <c r="F74" i="26"/>
  <c r="O73" i="26"/>
  <c r="M73" i="26"/>
  <c r="F73" i="26"/>
  <c r="E73" i="26"/>
  <c r="M68" i="26"/>
  <c r="F68" i="26"/>
  <c r="M63" i="26"/>
  <c r="F63" i="26"/>
  <c r="F59" i="26"/>
  <c r="M58" i="26"/>
  <c r="K58" i="26"/>
  <c r="E58" i="26"/>
  <c r="M57" i="26"/>
  <c r="F57" i="26"/>
  <c r="E56" i="26"/>
  <c r="F45" i="26"/>
  <c r="M44" i="26"/>
  <c r="E44" i="26"/>
  <c r="K43" i="26"/>
  <c r="F43" i="26"/>
  <c r="K42" i="26"/>
  <c r="O41" i="26"/>
  <c r="M41" i="26"/>
  <c r="K41" i="26"/>
  <c r="F41" i="26"/>
  <c r="E41" i="26"/>
  <c r="F39" i="26"/>
  <c r="M38" i="26"/>
  <c r="E38" i="26"/>
  <c r="K27" i="26"/>
  <c r="K28" i="26" s="1"/>
  <c r="K26" i="26"/>
  <c r="K24" i="26"/>
  <c r="K23" i="26"/>
  <c r="K11" i="26"/>
  <c r="F12" i="26" s="1"/>
  <c r="G10" i="26"/>
  <c r="K8" i="26"/>
  <c r="K7" i="26"/>
  <c r="C30" i="26" s="1"/>
  <c r="K6" i="26"/>
  <c r="E11" i="26" s="1"/>
  <c r="K5" i="26"/>
  <c r="F10" i="26" s="1"/>
  <c r="K14" i="28"/>
  <c r="E12" i="26" l="1"/>
  <c r="E12" i="27"/>
  <c r="E12" i="28"/>
  <c r="F11" i="26"/>
  <c r="K80" i="26"/>
  <c r="K81" i="26" s="1"/>
  <c r="K84" i="26" s="1"/>
  <c r="E10" i="28"/>
  <c r="K75" i="28"/>
  <c r="K76" i="28" s="1"/>
  <c r="E74" i="28" s="1"/>
  <c r="K32" i="26"/>
  <c r="F30" i="26" s="1"/>
  <c r="F10" i="27"/>
  <c r="K70" i="28"/>
  <c r="K71" i="28" s="1"/>
  <c r="E69" i="28" s="1"/>
  <c r="K29" i="26"/>
  <c r="D30" i="27"/>
  <c r="K26" i="27"/>
  <c r="F30" i="27" s="1"/>
  <c r="D33" i="27"/>
  <c r="K27" i="27"/>
  <c r="F33" i="27" s="1"/>
  <c r="K16" i="27"/>
  <c r="D27" i="28"/>
  <c r="K15" i="28"/>
  <c r="K17" i="26"/>
  <c r="K18" i="26" s="1"/>
  <c r="K14" i="27"/>
  <c r="K15" i="27" s="1"/>
  <c r="D33" i="28"/>
  <c r="K14" i="26"/>
  <c r="C24" i="26"/>
  <c r="K16" i="28"/>
  <c r="D18" i="28"/>
  <c r="D24" i="28"/>
  <c r="F87" i="27"/>
  <c r="K87" i="27"/>
  <c r="E82" i="27"/>
  <c r="K87" i="28"/>
  <c r="F86" i="28"/>
  <c r="E79" i="26"/>
  <c r="F83" i="27"/>
  <c r="K64" i="26"/>
  <c r="K69" i="26"/>
  <c r="K67" i="27"/>
  <c r="K72" i="27"/>
  <c r="F70" i="28"/>
  <c r="F11" i="27"/>
  <c r="F11" i="28"/>
  <c r="E10" i="26"/>
  <c r="F75" i="28" l="1"/>
  <c r="C25" i="26"/>
  <c r="C19" i="26"/>
  <c r="D18" i="27"/>
  <c r="F80" i="26"/>
  <c r="K19" i="26"/>
  <c r="K16" i="26"/>
  <c r="K15" i="26"/>
  <c r="K18" i="27"/>
  <c r="K17" i="27"/>
  <c r="D25" i="27"/>
  <c r="D19" i="27"/>
  <c r="D19" i="28"/>
  <c r="D28" i="28"/>
  <c r="K18" i="28"/>
  <c r="K17" i="28"/>
  <c r="C18" i="26"/>
  <c r="K19" i="27"/>
  <c r="K19" i="28"/>
  <c r="D24" i="27"/>
  <c r="K73" i="27"/>
  <c r="E71" i="27" s="1"/>
  <c r="K70" i="26"/>
  <c r="F69" i="26" s="1"/>
  <c r="K85" i="26"/>
  <c r="K86" i="26" s="1"/>
  <c r="K68" i="27"/>
  <c r="E66" i="27" s="1"/>
  <c r="K65" i="26"/>
  <c r="F64" i="26" s="1"/>
  <c r="F84" i="26"/>
  <c r="K90" i="28"/>
  <c r="E85" i="28"/>
  <c r="F90" i="28"/>
  <c r="K88" i="27"/>
  <c r="K89" i="27" s="1"/>
  <c r="E87" i="27" s="1"/>
  <c r="F67" i="27" l="1"/>
  <c r="F72" i="27"/>
  <c r="K21" i="28"/>
  <c r="D35" i="28" s="1"/>
  <c r="K20" i="28"/>
  <c r="K24" i="28" s="1"/>
  <c r="K20" i="27"/>
  <c r="K24" i="27" s="1"/>
  <c r="K21" i="27"/>
  <c r="K25" i="27" s="1"/>
  <c r="F27" i="27" s="1"/>
  <c r="D21" i="27"/>
  <c r="K21" i="26"/>
  <c r="C26" i="26" s="1"/>
  <c r="K20" i="26"/>
  <c r="K30" i="26" s="1"/>
  <c r="K91" i="28"/>
  <c r="K92" i="28" s="1"/>
  <c r="E90" i="28" s="1"/>
  <c r="E84" i="26"/>
  <c r="F88" i="27"/>
  <c r="E63" i="26"/>
  <c r="F85" i="26"/>
  <c r="E68" i="26"/>
  <c r="D20" i="27" l="1"/>
  <c r="D21" i="28"/>
  <c r="C27" i="26"/>
  <c r="C21" i="26"/>
  <c r="F21" i="28"/>
  <c r="D34" i="28"/>
  <c r="F21" i="26"/>
  <c r="C20" i="26"/>
  <c r="D20" i="28"/>
  <c r="K31" i="26"/>
  <c r="F27" i="26" s="1"/>
  <c r="D27" i="27"/>
  <c r="D29" i="28"/>
  <c r="D36" i="28"/>
  <c r="K27" i="28"/>
  <c r="F36" i="28" s="1"/>
  <c r="K28" i="27"/>
  <c r="F21" i="27"/>
  <c r="D26" i="27"/>
  <c r="D30" i="28"/>
  <c r="K26" i="28"/>
  <c r="F30" i="28" s="1"/>
  <c r="F91" i="28"/>
  <c r="D35" i="27" l="1"/>
  <c r="K29" i="27"/>
  <c r="K30" i="27" s="1"/>
  <c r="E13" i="27" s="1"/>
  <c r="K33" i="26"/>
  <c r="K28" i="28"/>
  <c r="K34" i="26" l="1"/>
  <c r="K35" i="26" s="1"/>
  <c r="D32" i="26"/>
  <c r="K29" i="28"/>
  <c r="K30" i="28" s="1"/>
  <c r="E13" i="28" s="1"/>
  <c r="D38" i="28"/>
  <c r="D36" i="27"/>
  <c r="D39" i="28" l="1"/>
  <c r="D33" i="26"/>
  <c r="E13" i="26"/>
  <c r="C6" i="21" l="1"/>
  <c r="C10" i="21" l="1"/>
  <c r="E10" i="21" s="1"/>
  <c r="C21" i="21"/>
  <c r="E21" i="21" s="1"/>
  <c r="E6" i="21"/>
  <c r="C19" i="21" l="1"/>
  <c r="E19" i="21" s="1"/>
  <c r="C14" i="21"/>
  <c r="E14" i="21" s="1"/>
  <c r="C22" i="21"/>
  <c r="E22" i="21" s="1"/>
  <c r="C15" i="21"/>
  <c r="E15" i="21" s="1"/>
  <c r="F21" i="21"/>
  <c r="C24" i="21"/>
  <c r="E24" i="21" s="1"/>
  <c r="F10" i="21"/>
  <c r="C11" i="21"/>
  <c r="E11" i="21" s="1"/>
  <c r="C8" i="21"/>
  <c r="E8" i="21" s="1"/>
  <c r="F6" i="21"/>
  <c r="F11" i="21" l="1"/>
  <c r="F24" i="21"/>
  <c r="C17" i="21"/>
  <c r="E17" i="21" s="1"/>
  <c r="F14" i="21"/>
  <c r="C7" i="21"/>
  <c r="F8" i="21"/>
  <c r="F15" i="21"/>
  <c r="F22" i="21"/>
  <c r="F19" i="21"/>
  <c r="C18" i="21"/>
  <c r="E18" i="21" s="1"/>
  <c r="C20" i="21" l="1"/>
  <c r="E20" i="21" s="1"/>
  <c r="E7" i="21"/>
  <c r="F17" i="21"/>
  <c r="C12" i="21"/>
  <c r="E12" i="21" s="1"/>
  <c r="F18" i="21"/>
  <c r="C9" i="21"/>
  <c r="E9" i="21" s="1"/>
  <c r="C23" i="21"/>
  <c r="E23" i="21" s="1"/>
  <c r="C16" i="21"/>
  <c r="E16" i="21" s="1"/>
  <c r="F12" i="21" l="1"/>
  <c r="C25" i="21"/>
  <c r="F20" i="21"/>
  <c r="F16" i="21"/>
  <c r="F23" i="21"/>
  <c r="F9" i="21"/>
  <c r="F7" i="21"/>
  <c r="E25" i="21"/>
  <c r="F25" i="21" s="1"/>
</calcChain>
</file>

<file path=xl/comments1.xml><?xml version="1.0" encoding="utf-8"?>
<comments xmlns="http://schemas.openxmlformats.org/spreadsheetml/2006/main">
  <authors>
    <author>福岡県</author>
  </authors>
  <commentList>
    <comment ref="K22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最低賃金単価を入力する（福岡労働局HP）参照
</t>
        </r>
      </text>
    </comment>
    <comment ref="K38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3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K41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6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comments3.xml><?xml version="1.0" encoding="utf-8"?>
<comments xmlns="http://schemas.openxmlformats.org/spreadsheetml/2006/main">
  <authors>
    <author>福岡県</author>
  </authors>
  <commentList>
    <comment ref="K44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 xml:space="preserve">「単価設定」のシートから、一番安い（採用）単価を入力する
</t>
        </r>
      </text>
    </comment>
    <comment ref="K69" authorId="0" shapeId="0">
      <text>
        <r>
          <rPr>
            <b/>
            <sz val="9"/>
            <color indexed="8"/>
            <rFont val="ＭＳ Ｐゴシック"/>
            <family val="3"/>
            <charset val="128"/>
          </rPr>
          <t>本庁資料より
本庁の清掃は５年契約のため、５年間は変わらない。</t>
        </r>
      </text>
    </comment>
  </commentList>
</comments>
</file>

<file path=xl/sharedStrings.xml><?xml version="1.0" encoding="utf-8"?>
<sst xmlns="http://schemas.openxmlformats.org/spreadsheetml/2006/main" count="656" uniqueCount="284">
  <si>
    <t>常</t>
  </si>
  <si>
    <t xml:space="preserve">    小  　　　　　計  ①</t>
  </si>
  <si>
    <t xml:space="preserve">    小  　　　　　計  ②</t>
  </si>
  <si>
    <t>備　　    考</t>
  </si>
  <si>
    <t>建物延面積(㎡)</t>
    <rPh sb="0" eb="2">
      <t>タテモノ</t>
    </rPh>
    <rPh sb="2" eb="3">
      <t>ノベ</t>
    </rPh>
    <rPh sb="3" eb="5">
      <t>メンセキ</t>
    </rPh>
    <phoneticPr fontId="6"/>
  </si>
  <si>
    <r>
      <t>歩掛(定期清掃分</t>
    </r>
    <r>
      <rPr>
        <sz val="12"/>
        <rFont val="ＭＳ 明朝"/>
        <family val="1"/>
      </rPr>
      <t>)</t>
    </r>
    <rPh sb="0" eb="1">
      <t>ブ</t>
    </rPh>
    <rPh sb="1" eb="2">
      <t>ガカリ</t>
    </rPh>
    <rPh sb="3" eb="5">
      <t>テイキ</t>
    </rPh>
    <rPh sb="5" eb="7">
      <t>セイソウ</t>
    </rPh>
    <rPh sb="7" eb="8">
      <t>ブン</t>
    </rPh>
    <phoneticPr fontId="6"/>
  </si>
  <si>
    <t>未満</t>
    <rPh sb="0" eb="2">
      <t>ミマン</t>
    </rPh>
    <phoneticPr fontId="6"/>
  </si>
  <si>
    <t>以上</t>
    <rPh sb="0" eb="2">
      <t>イジョウ</t>
    </rPh>
    <phoneticPr fontId="6"/>
  </si>
  <si>
    <t>建物延面積
　　　(㎡)</t>
    <rPh sb="0" eb="2">
      <t>タテモノ</t>
    </rPh>
    <rPh sb="2" eb="3">
      <t>ノベ</t>
    </rPh>
    <rPh sb="3" eb="5">
      <t>メンセキ</t>
    </rPh>
    <phoneticPr fontId="6"/>
  </si>
  <si>
    <t>歩掛</t>
    <rPh sb="0" eb="1">
      <t>ブ</t>
    </rPh>
    <rPh sb="1" eb="2">
      <t>カカリ</t>
    </rPh>
    <phoneticPr fontId="6"/>
  </si>
  <si>
    <t>庁舎名</t>
    <rPh sb="0" eb="2">
      <t>チョウシャ</t>
    </rPh>
    <rPh sb="2" eb="3">
      <t>メイ</t>
    </rPh>
    <phoneticPr fontId="6"/>
  </si>
  <si>
    <t>備　　考</t>
    <rPh sb="0" eb="4">
      <t>ビコウ</t>
    </rPh>
    <phoneticPr fontId="6"/>
  </si>
  <si>
    <t>田　川</t>
    <rPh sb="0" eb="3">
      <t>タガワ</t>
    </rPh>
    <phoneticPr fontId="6"/>
  </si>
  <si>
    <t>直　方</t>
    <rPh sb="0" eb="3">
      <t>ノウガタ</t>
    </rPh>
    <phoneticPr fontId="6"/>
  </si>
  <si>
    <t>飯　塚</t>
    <rPh sb="0" eb="3">
      <t>イイヅカ</t>
    </rPh>
    <phoneticPr fontId="6"/>
  </si>
  <si>
    <t>八　女</t>
    <rPh sb="0" eb="3">
      <t>ヤメ</t>
    </rPh>
    <phoneticPr fontId="6"/>
  </si>
  <si>
    <t>柳　川</t>
    <rPh sb="0" eb="3">
      <t>ヤナガワ</t>
    </rPh>
    <phoneticPr fontId="6"/>
  </si>
  <si>
    <t>小　倉</t>
    <rPh sb="0" eb="3">
      <t>コクラ</t>
    </rPh>
    <phoneticPr fontId="6"/>
  </si>
  <si>
    <t>豊　前</t>
    <rPh sb="0" eb="3">
      <t>ブゼン</t>
    </rPh>
    <phoneticPr fontId="6"/>
  </si>
  <si>
    <t>浮　羽</t>
    <rPh sb="0" eb="3">
      <t>ウキハ</t>
    </rPh>
    <phoneticPr fontId="6"/>
  </si>
  <si>
    <t>八　幡</t>
    <rPh sb="0" eb="3">
      <t>ヤハタ</t>
    </rPh>
    <phoneticPr fontId="6"/>
  </si>
  <si>
    <t>行　橋</t>
    <rPh sb="0" eb="3">
      <t>ユクハシ</t>
    </rPh>
    <phoneticPr fontId="6"/>
  </si>
  <si>
    <t>筑　紫</t>
    <rPh sb="0" eb="3">
      <t>チクシ</t>
    </rPh>
    <phoneticPr fontId="6"/>
  </si>
  <si>
    <t>福岡東</t>
    <rPh sb="0" eb="2">
      <t>フクオカ</t>
    </rPh>
    <rPh sb="2" eb="3">
      <t>ヒガシ</t>
    </rPh>
    <phoneticPr fontId="6"/>
  </si>
  <si>
    <t>福岡西</t>
    <rPh sb="0" eb="3">
      <t>フクオカニシ</t>
    </rPh>
    <phoneticPr fontId="6"/>
  </si>
  <si>
    <t>糸　島</t>
    <rPh sb="0" eb="3">
      <t>イトシマ</t>
    </rPh>
    <phoneticPr fontId="6"/>
  </si>
  <si>
    <t>粕　屋</t>
    <rPh sb="0" eb="3">
      <t>カスヤ</t>
    </rPh>
    <phoneticPr fontId="6"/>
  </si>
  <si>
    <t>宗　像</t>
    <rPh sb="0" eb="3">
      <t>ムナカタ</t>
    </rPh>
    <phoneticPr fontId="6"/>
  </si>
  <si>
    <t>大牟田</t>
    <rPh sb="0" eb="3">
      <t>オオムタ</t>
    </rPh>
    <phoneticPr fontId="6"/>
  </si>
  <si>
    <t>久留米</t>
    <rPh sb="0" eb="3">
      <t>クルメ</t>
    </rPh>
    <phoneticPr fontId="6"/>
  </si>
  <si>
    <t>計</t>
    <rPh sb="0" eb="1">
      <t>ケイ</t>
    </rPh>
    <phoneticPr fontId="6"/>
  </si>
  <si>
    <t>No.</t>
    <phoneticPr fontId="6"/>
  </si>
  <si>
    <t>取扱注意</t>
    <rPh sb="0" eb="2">
      <t>トリアツカイ</t>
    </rPh>
    <rPh sb="2" eb="4">
      <t>チュウイ</t>
    </rPh>
    <phoneticPr fontId="6"/>
  </si>
  <si>
    <t>人　員</t>
    <phoneticPr fontId="6"/>
  </si>
  <si>
    <t>単価(円)</t>
    <phoneticPr fontId="6"/>
  </si>
  <si>
    <t>計(円)</t>
    <phoneticPr fontId="6"/>
  </si>
  <si>
    <t>朝　倉</t>
    <rPh sb="0" eb="1">
      <t>アサ</t>
    </rPh>
    <rPh sb="2" eb="3">
      <t>クラ</t>
    </rPh>
    <phoneticPr fontId="6"/>
  </si>
  <si>
    <t>契約期間(年)</t>
    <rPh sb="0" eb="2">
      <t>ケイヤク</t>
    </rPh>
    <rPh sb="2" eb="4">
      <t>キカン</t>
    </rPh>
    <rPh sb="5" eb="6">
      <t>ネン</t>
    </rPh>
    <phoneticPr fontId="6"/>
  </si>
  <si>
    <r>
      <t xml:space="preserve">今回契約期間
</t>
    </r>
    <r>
      <rPr>
        <sz val="8"/>
        <rFont val="ＭＳ 明朝"/>
        <family val="1"/>
      </rPr>
      <t>(長期継続契約)</t>
    </r>
    <r>
      <rPr>
        <sz val="11"/>
        <rFont val="ＭＳ 明朝"/>
        <family val="1"/>
        <charset val="128"/>
      </rPr>
      <t xml:space="preserve">
(年)
②</t>
    </r>
    <rPh sb="0" eb="2">
      <t>コンカイ</t>
    </rPh>
    <rPh sb="2" eb="4">
      <t>ケイヤク</t>
    </rPh>
    <rPh sb="4" eb="6">
      <t>キカン</t>
    </rPh>
    <rPh sb="8" eb="10">
      <t>チョウキ</t>
    </rPh>
    <rPh sb="10" eb="12">
      <t>ケイゾク</t>
    </rPh>
    <rPh sb="12" eb="14">
      <t>ケイヤク</t>
    </rPh>
    <rPh sb="17" eb="18">
      <t>ネン</t>
    </rPh>
    <phoneticPr fontId="6"/>
  </si>
  <si>
    <t>単年度分
設計額
(税抜)
①</t>
    <rPh sb="0" eb="3">
      <t>タンネンド</t>
    </rPh>
    <rPh sb="3" eb="4">
      <t>ブン</t>
    </rPh>
    <rPh sb="5" eb="7">
      <t>セッケイ</t>
    </rPh>
    <rPh sb="7" eb="8">
      <t>ガク</t>
    </rPh>
    <rPh sb="10" eb="11">
      <t>ゼイ</t>
    </rPh>
    <rPh sb="11" eb="12">
      <t>ヌ</t>
    </rPh>
    <phoneticPr fontId="6"/>
  </si>
  <si>
    <t>今回契約時設計額
(税抜)
③＝①×②</t>
    <rPh sb="0" eb="2">
      <t>コンカイ</t>
    </rPh>
    <rPh sb="2" eb="4">
      <t>ケイヤク</t>
    </rPh>
    <rPh sb="4" eb="5">
      <t>ジ</t>
    </rPh>
    <rPh sb="5" eb="7">
      <t>セッケイ</t>
    </rPh>
    <rPh sb="7" eb="8">
      <t>ガク</t>
    </rPh>
    <rPh sb="10" eb="11">
      <t>ゼイ</t>
    </rPh>
    <rPh sb="11" eb="12">
      <t>ヌ</t>
    </rPh>
    <phoneticPr fontId="6"/>
  </si>
  <si>
    <r>
      <t>契約期間分委託料(税抜</t>
    </r>
    <r>
      <rPr>
        <sz val="12"/>
        <rFont val="ＭＳ 明朝"/>
        <family val="1"/>
      </rPr>
      <t>)</t>
    </r>
    <rPh sb="0" eb="2">
      <t>ケイヤク</t>
    </rPh>
    <rPh sb="2" eb="4">
      <t>キカン</t>
    </rPh>
    <rPh sb="4" eb="5">
      <t>ブン</t>
    </rPh>
    <rPh sb="5" eb="8">
      <t>イタクリョウ</t>
    </rPh>
    <rPh sb="9" eb="10">
      <t>ゼイ</t>
    </rPh>
    <rPh sb="10" eb="11">
      <t>ヌ</t>
    </rPh>
    <phoneticPr fontId="6"/>
  </si>
  <si>
    <r>
      <t>契約期間分委託料(税込</t>
    </r>
    <r>
      <rPr>
        <sz val="12"/>
        <rFont val="ＭＳ 明朝"/>
        <family val="1"/>
      </rPr>
      <t>)</t>
    </r>
    <rPh sb="0" eb="2">
      <t>ケイヤク</t>
    </rPh>
    <rPh sb="2" eb="4">
      <t>キカン</t>
    </rPh>
    <rPh sb="4" eb="5">
      <t>ブン</t>
    </rPh>
    <rPh sb="5" eb="8">
      <t>イタクリョウ</t>
    </rPh>
    <rPh sb="9" eb="10">
      <t>ゼイ</t>
    </rPh>
    <rPh sb="10" eb="11">
      <t>コ</t>
    </rPh>
    <phoneticPr fontId="6"/>
  </si>
  <si>
    <t>設計額（予定価格）一覧表</t>
    <rPh sb="0" eb="2">
      <t>セッケイ</t>
    </rPh>
    <rPh sb="2" eb="3">
      <t>ガク</t>
    </rPh>
    <rPh sb="4" eb="6">
      <t>ヨテイ</t>
    </rPh>
    <rPh sb="6" eb="8">
      <t>カカク</t>
    </rPh>
    <rPh sb="9" eb="11">
      <t>イチラン</t>
    </rPh>
    <rPh sb="11" eb="12">
      <t>ヒョウ</t>
    </rPh>
    <phoneticPr fontId="6"/>
  </si>
  <si>
    <r>
      <t>18</t>
    </r>
    <r>
      <rPr>
        <sz val="11"/>
        <rFont val="ＭＳ 明朝"/>
        <family val="1"/>
        <charset val="128"/>
      </rPr>
      <t>庁舎</t>
    </r>
    <rPh sb="2" eb="4">
      <t>チョウシャ</t>
    </rPh>
    <phoneticPr fontId="6"/>
  </si>
  <si>
    <t>外窓ガラス</t>
    <rPh sb="0" eb="1">
      <t>ソト</t>
    </rPh>
    <rPh sb="1" eb="2">
      <t>マド</t>
    </rPh>
    <phoneticPr fontId="6"/>
  </si>
  <si>
    <t>定期清掃(ｶｰﾍﾟｯﾄ)</t>
    <rPh sb="0" eb="2">
      <t>テイキ</t>
    </rPh>
    <rPh sb="2" eb="4">
      <t>セイソウ</t>
    </rPh>
    <phoneticPr fontId="6"/>
  </si>
  <si>
    <t>平常清掃(廊下等)</t>
    <rPh sb="0" eb="2">
      <t>ヘイジョウ</t>
    </rPh>
    <rPh sb="2" eb="4">
      <t>セイソウ</t>
    </rPh>
    <rPh sb="5" eb="7">
      <t>ロウカ</t>
    </rPh>
    <rPh sb="7" eb="8">
      <t>トウ</t>
    </rPh>
    <phoneticPr fontId="6"/>
  </si>
  <si>
    <t>定期清掃(WC等)</t>
    <rPh sb="0" eb="2">
      <t>テイキ</t>
    </rPh>
    <rPh sb="2" eb="4">
      <t>セイソウ</t>
    </rPh>
    <rPh sb="7" eb="8">
      <t>トウ</t>
    </rPh>
    <phoneticPr fontId="6"/>
  </si>
  <si>
    <t>総合庁舎の付帯設備・警備及び清掃に関する業務委託</t>
    <rPh sb="10" eb="12">
      <t>ケイビ</t>
    </rPh>
    <rPh sb="12" eb="13">
      <t>オヨ</t>
    </rPh>
    <phoneticPr fontId="6"/>
  </si>
  <si>
    <t>特別</t>
    <rPh sb="0" eb="2">
      <t>トクベツ</t>
    </rPh>
    <phoneticPr fontId="6"/>
  </si>
  <si>
    <r>
      <t xml:space="preserve">今回契約時設計額
(税込)
</t>
    </r>
    <r>
      <rPr>
        <b/>
        <sz val="11"/>
        <rFont val="ＭＳ 明朝"/>
        <family val="1"/>
      </rPr>
      <t xml:space="preserve">＝予定価格
</t>
    </r>
    <r>
      <rPr>
        <sz val="11"/>
        <rFont val="ＭＳ 明朝"/>
        <family val="1"/>
      </rPr>
      <t>④＝③×1.08</t>
    </r>
    <rPh sb="0" eb="2">
      <t>コンカイ</t>
    </rPh>
    <rPh sb="2" eb="4">
      <t>ケイヤク</t>
    </rPh>
    <rPh sb="4" eb="5">
      <t>ジ</t>
    </rPh>
    <rPh sb="5" eb="7">
      <t>セッケイ</t>
    </rPh>
    <rPh sb="7" eb="8">
      <t>ガク</t>
    </rPh>
    <rPh sb="10" eb="11">
      <t>ゼイ</t>
    </rPh>
    <rPh sb="11" eb="12">
      <t>コ</t>
    </rPh>
    <rPh sb="15" eb="17">
      <t>ヨテイ</t>
    </rPh>
    <rPh sb="17" eb="19">
      <t>カカク</t>
    </rPh>
    <phoneticPr fontId="6"/>
  </si>
  <si>
    <t>単価入力用</t>
    <rPh sb="0" eb="2">
      <t>タンカ</t>
    </rPh>
    <rPh sb="2" eb="4">
      <t>ニュウリョク</t>
    </rPh>
    <rPh sb="4" eb="5">
      <t>ヨウ</t>
    </rPh>
    <phoneticPr fontId="16"/>
  </si>
  <si>
    <t>建築保全労務単価</t>
    <phoneticPr fontId="16"/>
  </si>
  <si>
    <t>保全技師Ⅰ</t>
    <phoneticPr fontId="16"/>
  </si>
  <si>
    <t>保全技師Ⅱ</t>
    <phoneticPr fontId="16"/>
  </si>
  <si>
    <t>警備員Ｃ</t>
    <rPh sb="0" eb="3">
      <t>ケイビイン</t>
    </rPh>
    <phoneticPr fontId="16"/>
  </si>
  <si>
    <t>１　付帯設備・警備業務</t>
    <phoneticPr fontId="16"/>
  </si>
  <si>
    <t>清掃員Ｃ</t>
    <rPh sb="0" eb="3">
      <t>セイソウイン</t>
    </rPh>
    <phoneticPr fontId="16"/>
  </si>
  <si>
    <t>種　 　　別</t>
    <phoneticPr fontId="16"/>
  </si>
  <si>
    <t>単価 (月額）</t>
  </si>
  <si>
    <t>保 全 技 師 Ⅰ</t>
    <phoneticPr fontId="16"/>
  </si>
  <si>
    <t>保 全 技 師 Ⅱ</t>
    <phoneticPr fontId="16"/>
  </si>
  <si>
    <t>警備員単価</t>
    <rPh sb="0" eb="3">
      <t>ケイビイン</t>
    </rPh>
    <rPh sb="3" eb="5">
      <t>タンカ</t>
    </rPh>
    <phoneticPr fontId="16"/>
  </si>
  <si>
    <t>割増基礎単価</t>
    <rPh sb="0" eb="2">
      <t>ワリマシ</t>
    </rPh>
    <rPh sb="2" eb="4">
      <t>キソ</t>
    </rPh>
    <rPh sb="4" eb="6">
      <t>タンカ</t>
    </rPh>
    <phoneticPr fontId="16"/>
  </si>
  <si>
    <t>1h当たり単価</t>
    <rPh sb="2" eb="3">
      <t>ア</t>
    </rPh>
    <rPh sb="5" eb="7">
      <t>タンカ</t>
    </rPh>
    <phoneticPr fontId="16"/>
  </si>
  <si>
    <t>↑切捨て</t>
    <rPh sb="1" eb="3">
      <t>キリス</t>
    </rPh>
    <phoneticPr fontId="16"/>
  </si>
  <si>
    <t>　　</t>
  </si>
  <si>
    <t>種　類</t>
  </si>
  <si>
    <t>単　　価</t>
  </si>
  <si>
    <t>積　　　　　算</t>
  </si>
  <si>
    <t>平常</t>
  </si>
  <si>
    <t>廊下・</t>
  </si>
  <si>
    <t>会議室等</t>
  </si>
  <si>
    <t>定期</t>
  </si>
  <si>
    <t>事務室・</t>
  </si>
  <si>
    <t>*0.10</t>
  </si>
  <si>
    <t>事務室</t>
  </si>
  <si>
    <t>（ワックス月１回）</t>
  </si>
  <si>
    <t>屋外</t>
  </si>
  <si>
    <t>屋外清掃単価</t>
    <rPh sb="0" eb="2">
      <t>オクガイ</t>
    </rPh>
    <rPh sb="2" eb="4">
      <t>セイソウ</t>
    </rPh>
    <rPh sb="4" eb="6">
      <t>タンカ</t>
    </rPh>
    <phoneticPr fontId="16"/>
  </si>
  <si>
    <t>車庫・その他単価</t>
    <rPh sb="6" eb="8">
      <t>タンカ</t>
    </rPh>
    <phoneticPr fontId="16"/>
  </si>
  <si>
    <t>窓ガラス</t>
  </si>
  <si>
    <t>清掃</t>
  </si>
  <si>
    <t>剥離</t>
  </si>
  <si>
    <t>　円／㎡・日</t>
  </si>
  <si>
    <t>ワックス剥離単価</t>
    <rPh sb="4" eb="6">
      <t>ハクリ</t>
    </rPh>
    <rPh sb="6" eb="8">
      <t>タンカ</t>
    </rPh>
    <phoneticPr fontId="16"/>
  </si>
  <si>
    <t>↑小数点第３位切捨て</t>
    <rPh sb="1" eb="4">
      <t>ショウスウテン</t>
    </rPh>
    <rPh sb="4" eb="5">
      <t>ダイ</t>
    </rPh>
    <rPh sb="6" eb="7">
      <t>クライ</t>
    </rPh>
    <rPh sb="7" eb="9">
      <t>キリス</t>
    </rPh>
    <phoneticPr fontId="16"/>
  </si>
  <si>
    <t>ワックス</t>
  </si>
  <si>
    <t>ワックス剥離＋清掃</t>
    <rPh sb="4" eb="6">
      <t>ハクリ</t>
    </rPh>
    <rPh sb="7" eb="9">
      <t>セイソウ</t>
    </rPh>
    <phoneticPr fontId="16"/>
  </si>
  <si>
    <t>ワックス剥離単価</t>
    <rPh sb="6" eb="8">
      <t>タンカ</t>
    </rPh>
    <phoneticPr fontId="16"/>
  </si>
  <si>
    <t>文字列又は数式を加えたい時は、文字列または数式ごとに「&amp;」でつないでいく</t>
    <rPh sb="0" eb="3">
      <t>モジレツ</t>
    </rPh>
    <rPh sb="3" eb="4">
      <t>マタ</t>
    </rPh>
    <rPh sb="5" eb="7">
      <t>スウシキ</t>
    </rPh>
    <rPh sb="8" eb="9">
      <t>クワ</t>
    </rPh>
    <rPh sb="12" eb="13">
      <t>ジ</t>
    </rPh>
    <rPh sb="15" eb="18">
      <t>モジレツ</t>
    </rPh>
    <rPh sb="21" eb="23">
      <t>スウシキ</t>
    </rPh>
    <phoneticPr fontId="16"/>
  </si>
  <si>
    <t>文字列は""で括る。</t>
    <rPh sb="0" eb="3">
      <t>モジレツ</t>
    </rPh>
    <rPh sb="7" eb="8">
      <t>クク</t>
    </rPh>
    <phoneticPr fontId="16"/>
  </si>
  <si>
    <t>数式の表示形式は、年度ごとに適宜変更してください。</t>
    <rPh sb="0" eb="2">
      <t>スウシキ</t>
    </rPh>
    <rPh sb="3" eb="5">
      <t>ヒョウジ</t>
    </rPh>
    <rPh sb="5" eb="7">
      <t>ケイシキ</t>
    </rPh>
    <rPh sb="9" eb="11">
      <t>ネンド</t>
    </rPh>
    <rPh sb="14" eb="16">
      <t>テキギ</t>
    </rPh>
    <rPh sb="16" eb="18">
      <t>ヘンコウ</t>
    </rPh>
    <phoneticPr fontId="16"/>
  </si>
  <si>
    <t>単価は100円単位での変動と思われるので、おそらくどちらかのパターンになる</t>
    <rPh sb="0" eb="2">
      <t>タンカ</t>
    </rPh>
    <rPh sb="6" eb="7">
      <t>エン</t>
    </rPh>
    <rPh sb="7" eb="9">
      <t>タンイ</t>
    </rPh>
    <rPh sb="11" eb="13">
      <t>ヘンドウ</t>
    </rPh>
    <rPh sb="14" eb="15">
      <t>オモ</t>
    </rPh>
    <phoneticPr fontId="16"/>
  </si>
  <si>
    <t>＝　" 文字列またはTEXT関数"　＆　" 文字列またはTEXT関数"</t>
    <rPh sb="5" eb="8">
      <t>モジレツ</t>
    </rPh>
    <rPh sb="15" eb="17">
      <t>カンスウ</t>
    </rPh>
    <phoneticPr fontId="16"/>
  </si>
  <si>
    <t>（別紙）</t>
    <phoneticPr fontId="16"/>
  </si>
  <si>
    <t>積算単価詳細</t>
    <phoneticPr fontId="16"/>
  </si>
  <si>
    <t>２（１）平常　廊下・会議室等</t>
    <phoneticPr fontId="16"/>
  </si>
  <si>
    <t>　平常清掃単価であるが、総合庁舎の清掃業務については、平常清掃及び定期清掃を一括して契約しているため、設計にあたっては、市場実態調査情報誌の「総合清掃単価」から「定期清掃単価」を差し引いた単価を採用していた。しかし、定期清掃を１回／２月とした場合「総合清掃単価」の算出に当たって前提となっている仕様（定期清掃の回数）が異なるため、従来の方法で算出した単価を採用することは適当でない。</t>
    <phoneticPr fontId="16"/>
  </si>
  <si>
    <t>　また、定期清掃の回数を減らすことで、平常清掃の手間が増加する。（業者聞き取り）</t>
    <phoneticPr fontId="16"/>
  </si>
  <si>
    <t>日常清掃単価</t>
    <rPh sb="0" eb="2">
      <t>ニチジョウ</t>
    </rPh>
    <rPh sb="2" eb="4">
      <t>セイソウ</t>
    </rPh>
    <rPh sb="4" eb="6">
      <t>タンカ</t>
    </rPh>
    <phoneticPr fontId="16"/>
  </si>
  <si>
    <t>*0.8</t>
    <phoneticPr fontId="16"/>
  </si>
  <si>
    <t>２（１）定期　事務室・会議室等（ワックス清掃）　（６）ワックス剥離</t>
    <phoneticPr fontId="16"/>
  </si>
  <si>
    <t>　設計にあたって単価の根拠としている「建設物価」等の市場実態調査情報誌では１回／2月のワックス清掃単価は無いが、2回／月の単価は調査・掲載されているため、次の比例式により１回／2月の単価とする。（「建設物価」の単価を採用）
　　(2回／月の1回当たり単価)：(１回／月の単価)≒(１回／月の単価)：(１回／2月の単価)</t>
    <phoneticPr fontId="16"/>
  </si>
  <si>
    <t>2回／月単価</t>
    <phoneticPr fontId="16"/>
  </si>
  <si>
    <t>÷2</t>
    <phoneticPr fontId="16"/>
  </si>
  <si>
    <t>1回／月単価</t>
    <phoneticPr fontId="16"/>
  </si>
  <si>
    <t>ワックス清掃単価</t>
    <rPh sb="4" eb="6">
      <t>セイソウ</t>
    </rPh>
    <rPh sb="6" eb="8">
      <t>タンカ</t>
    </rPh>
    <phoneticPr fontId="16"/>
  </si>
  <si>
    <t>*5/12</t>
    <phoneticPr fontId="16"/>
  </si>
  <si>
    <t>これにより、定期清掃の1ヶ月当たり㎡単価は次のとおり</t>
    <phoneticPr fontId="16"/>
  </si>
  <si>
    <t>② 年6回のうち、ワックス剥離（特別清掃）を年1回で行い、別途積算するため、1回分を削除した年間の経費を算出し、12ヶ月で除する。</t>
    <phoneticPr fontId="16"/>
  </si>
  <si>
    <t>設備機械工</t>
    <phoneticPr fontId="16"/>
  </si>
  <si>
    <t>設 備 機 械 工</t>
    <phoneticPr fontId="16"/>
  </si>
  <si>
    <t>警  　備　  員</t>
    <phoneticPr fontId="16"/>
  </si>
  <si>
    <t>※２　警備員については、労務単価により</t>
    <phoneticPr fontId="16"/>
  </si>
  <si>
    <t>↑*0.5</t>
    <phoneticPr fontId="16"/>
  </si>
  <si>
    <t>（１）</t>
    <phoneticPr fontId="16"/>
  </si>
  <si>
    <t>○２４時間業務従事者（実労１６時間（深夜３時間））　　１名</t>
    <phoneticPr fontId="16"/>
  </si>
  <si>
    <t>（２）</t>
    <phoneticPr fontId="16"/>
  </si>
  <si>
    <t>↑*13h</t>
    <phoneticPr fontId="16"/>
  </si>
  <si>
    <t>↑*6h</t>
    <phoneticPr fontId="16"/>
  </si>
  <si>
    <t>（１）＋（２）</t>
    <phoneticPr fontId="16"/>
  </si>
  <si>
    <t>↑*3h</t>
    <phoneticPr fontId="16"/>
  </si>
  <si>
    <t>↑*4h</t>
    <phoneticPr fontId="16"/>
  </si>
  <si>
    <t>○１５時間業務従事者（実労１０時間（深夜４時間））　　１名</t>
    <phoneticPr fontId="16"/>
  </si>
  <si>
    <t>②１５時間業務従事者</t>
    <phoneticPr fontId="16"/>
  </si>
  <si>
    <t>③９時間業務従事者</t>
    <phoneticPr fontId="16"/>
  </si>
  <si>
    <t>①＋②＋③</t>
    <phoneticPr fontId="16"/>
  </si>
  <si>
    <t>↑÷12</t>
    <phoneticPr fontId="16"/>
  </si>
  <si>
    <t>○９時間業務従事者（実労８時間）　　１名</t>
    <phoneticPr fontId="16"/>
  </si>
  <si>
    <t>２　清掃業務</t>
    <phoneticPr fontId="16"/>
  </si>
  <si>
    <t>（１） 廊下、会議室、事務室等</t>
    <phoneticPr fontId="16"/>
  </si>
  <si>
    <t>（日常清掃単価）</t>
    <phoneticPr fontId="16"/>
  </si>
  <si>
    <t>*0.8</t>
    <phoneticPr fontId="16"/>
  </si>
  <si>
    <t>（ワックス清掃　１回／２月）</t>
    <phoneticPr fontId="16"/>
  </si>
  <si>
    <t>定期清掃　事務室・会議室等（ﾜｯｸｽ清掃）</t>
    <phoneticPr fontId="16"/>
  </si>
  <si>
    <t>*5/12</t>
    <phoneticPr fontId="16"/>
  </si>
  <si>
    <t>（部分洗浄月１回、全面清掃年１回）</t>
    <phoneticPr fontId="16"/>
  </si>
  <si>
    <t>*0.8</t>
    <phoneticPr fontId="16"/>
  </si>
  <si>
    <t>※ 建設物価は諸経費を含んでいるため、諸経費を除くために０．８を乗じる。</t>
    <phoneticPr fontId="16"/>
  </si>
  <si>
    <t>※ 歩掛（定期清掃分）</t>
    <phoneticPr fontId="16"/>
  </si>
  <si>
    <t>２，５００㎡未満　　１．０</t>
    <phoneticPr fontId="16"/>
  </si>
  <si>
    <t>３，０００㎡未満　　０．９</t>
    <phoneticPr fontId="16"/>
  </si>
  <si>
    <t>４，０００㎡未満　　０．８</t>
    <phoneticPr fontId="16"/>
  </si>
  <si>
    <t>４，０００㎡以上　　０．７</t>
    <phoneticPr fontId="16"/>
  </si>
  <si>
    <t>※ 算定結果は、小数点未満切り捨て</t>
    <phoneticPr fontId="16"/>
  </si>
  <si>
    <t>（２）WC・湯沸かし室</t>
    <phoneticPr fontId="16"/>
  </si>
  <si>
    <t>総合清掃単価:3000㎡</t>
    <phoneticPr fontId="16"/>
  </si>
  <si>
    <t>*0.8</t>
    <phoneticPr fontId="16"/>
  </si>
  <si>
    <t>①－②</t>
    <phoneticPr fontId="16"/>
  </si>
  <si>
    <t>*0.8</t>
    <phoneticPr fontId="16"/>
  </si>
  <si>
    <t>（３）屋外清掃</t>
    <phoneticPr fontId="16"/>
  </si>
  <si>
    <t>積　算　（本庁資料）</t>
    <phoneticPr fontId="16"/>
  </si>
  <si>
    <t>（４）車庫・その他</t>
    <phoneticPr fontId="16"/>
  </si>
  <si>
    <t>積　算　（本庁資料）</t>
    <phoneticPr fontId="16"/>
  </si>
  <si>
    <t>*8</t>
    <phoneticPr fontId="16"/>
  </si>
  <si>
    <t>÷12</t>
    <phoneticPr fontId="16"/>
  </si>
  <si>
    <t>*8</t>
    <phoneticPr fontId="16"/>
  </si>
  <si>
    <t>（※本票は全１８総合庁舎共通）</t>
    <phoneticPr fontId="16"/>
  </si>
  <si>
    <t>窓ガラス清掃単価</t>
    <rPh sb="0" eb="1">
      <t>マド</t>
    </rPh>
    <rPh sb="4" eb="6">
      <t>セイソウ</t>
    </rPh>
    <rPh sb="6" eb="8">
      <t>タンカ</t>
    </rPh>
    <phoneticPr fontId="16"/>
  </si>
  <si>
    <t>※「単価設定」シートと順番が逆なので注意</t>
    <rPh sb="2" eb="4">
      <t>タンカ</t>
    </rPh>
    <rPh sb="4" eb="6">
      <t>セッテイ</t>
    </rPh>
    <rPh sb="11" eb="13">
      <t>ジュンバン</t>
    </rPh>
    <rPh sb="14" eb="15">
      <t>ギャク</t>
    </rPh>
    <rPh sb="18" eb="20">
      <t>チュウイ</t>
    </rPh>
    <phoneticPr fontId="6"/>
  </si>
  <si>
    <t>「150」のような数字であれば、TEXT関数にしなくても表示可（今回は全てTEXT関数でそろえています）</t>
    <rPh sb="9" eb="11">
      <t>スウジ</t>
    </rPh>
    <rPh sb="20" eb="22">
      <t>カンスウ</t>
    </rPh>
    <rPh sb="28" eb="30">
      <t>ヒョウジ</t>
    </rPh>
    <rPh sb="30" eb="31">
      <t>カ</t>
    </rPh>
    <rPh sb="32" eb="34">
      <t>コンカイ</t>
    </rPh>
    <rPh sb="35" eb="36">
      <t>スベ</t>
    </rPh>
    <rPh sb="41" eb="43">
      <t>カンスウ</t>
    </rPh>
    <phoneticPr fontId="6"/>
  </si>
  <si>
    <t>青時部分のみ入力すれば、自動で変わります。</t>
    <rPh sb="0" eb="1">
      <t>アオ</t>
    </rPh>
    <rPh sb="1" eb="2">
      <t>ジ</t>
    </rPh>
    <rPh sb="2" eb="4">
      <t>ブブン</t>
    </rPh>
    <rPh sb="6" eb="8">
      <t>ニュウリョク</t>
    </rPh>
    <rPh sb="12" eb="14">
      <t>ジドウ</t>
    </rPh>
    <rPh sb="15" eb="16">
      <t>カ</t>
    </rPh>
    <phoneticPr fontId="6"/>
  </si>
  <si>
    <t>【毎日】</t>
    <rPh sb="1" eb="3">
      <t>マイニチ</t>
    </rPh>
    <phoneticPr fontId="6"/>
  </si>
  <si>
    <t xml:space="preserve"> (ｶｰﾍﾟｯﾄ)</t>
    <phoneticPr fontId="6"/>
  </si>
  <si>
    <t>【1回／2月】</t>
    <phoneticPr fontId="6"/>
  </si>
  <si>
    <t>【1回／月】</t>
    <phoneticPr fontId="6"/>
  </si>
  <si>
    <t>WC・湯沸室</t>
    <phoneticPr fontId="6"/>
  </si>
  <si>
    <t>車庫・その他</t>
    <phoneticPr fontId="6"/>
  </si>
  <si>
    <t>【1回／年】</t>
    <rPh sb="4" eb="5">
      <t>ネン</t>
    </rPh>
    <phoneticPr fontId="6"/>
  </si>
  <si>
    <t>（５）窓ガラス清掃</t>
    <phoneticPr fontId="16"/>
  </si>
  <si>
    <t>合計</t>
    <phoneticPr fontId="6"/>
  </si>
  <si>
    <t>（（６）ワックス剥離を年１回行うため、実施回数は年5回）</t>
    <rPh sb="14" eb="15">
      <t>オコナ</t>
    </rPh>
    <rPh sb="19" eb="21">
      <t>ジッシ</t>
    </rPh>
    <rPh sb="21" eb="23">
      <t>カイスウ</t>
    </rPh>
    <rPh sb="24" eb="25">
      <t>ネン</t>
    </rPh>
    <phoneticPr fontId="6"/>
  </si>
  <si>
    <t>（６）ワックス剥離</t>
    <phoneticPr fontId="16"/>
  </si>
  <si>
    <t>本庁清掃委託外掃作業能率</t>
    <rPh sb="0" eb="2">
      <t>ホンチョウ</t>
    </rPh>
    <rPh sb="2" eb="4">
      <t>セイソウ</t>
    </rPh>
    <rPh sb="4" eb="6">
      <t>イタク</t>
    </rPh>
    <rPh sb="6" eb="7">
      <t>ガイ</t>
    </rPh>
    <rPh sb="7" eb="8">
      <t>ソウ</t>
    </rPh>
    <rPh sb="8" eb="10">
      <t>サギョウ</t>
    </rPh>
    <rPh sb="10" eb="12">
      <t>ノウリツ</t>
    </rPh>
    <phoneticPr fontId="16"/>
  </si>
  <si>
    <t>本庁清掃委託床掃き作業能率</t>
    <rPh sb="0" eb="2">
      <t>ホンチョウ</t>
    </rPh>
    <rPh sb="2" eb="4">
      <t>セイソウ</t>
    </rPh>
    <rPh sb="4" eb="6">
      <t>イタク</t>
    </rPh>
    <rPh sb="6" eb="7">
      <t>ユカ</t>
    </rPh>
    <rPh sb="7" eb="8">
      <t>ハ</t>
    </rPh>
    <phoneticPr fontId="16"/>
  </si>
  <si>
    <t>（総合清掃単価－定期清掃単価）（建築施工単価）</t>
    <rPh sb="16" eb="18">
      <t>ケンチク</t>
    </rPh>
    <phoneticPr fontId="6"/>
  </si>
  <si>
    <t>本庁清掃委託ワックス塗り作業能率</t>
    <rPh sb="0" eb="2">
      <t>ホンチョウ</t>
    </rPh>
    <rPh sb="2" eb="4">
      <t>セイソウ</t>
    </rPh>
    <rPh sb="4" eb="6">
      <t>イタク</t>
    </rPh>
    <rPh sb="10" eb="11">
      <t>ヌ</t>
    </rPh>
    <phoneticPr fontId="16"/>
  </si>
  <si>
    <t>#,##0.0→小数点第１位まで表示（第１位が0でも表示）</t>
    <rPh sb="8" eb="11">
      <t>ショウスウテン</t>
    </rPh>
    <rPh sb="11" eb="12">
      <t>ダイ</t>
    </rPh>
    <rPh sb="13" eb="14">
      <t>イ</t>
    </rPh>
    <rPh sb="16" eb="18">
      <t>ヒョウジ</t>
    </rPh>
    <rPh sb="19" eb="20">
      <t>ダイ</t>
    </rPh>
    <rPh sb="21" eb="22">
      <t>イ</t>
    </rPh>
    <rPh sb="26" eb="28">
      <t>ヒョウジ</t>
    </rPh>
    <phoneticPr fontId="16"/>
  </si>
  <si>
    <t>#,##0.#→小数点第１位まで表示（第１位が0の時は表示されない）</t>
    <rPh sb="25" eb="26">
      <t>ジ</t>
    </rPh>
    <phoneticPr fontId="6"/>
  </si>
  <si>
    <t>例）#,##0→カンマ付き小数点表示なし。#,##0円→円表示</t>
    <rPh sb="0" eb="1">
      <t>レイ</t>
    </rPh>
    <rPh sb="11" eb="12">
      <t>ツ</t>
    </rPh>
    <rPh sb="13" eb="16">
      <t>ショウスウテン</t>
    </rPh>
    <rPh sb="16" eb="18">
      <t>ヒョウジ</t>
    </rPh>
    <rPh sb="28" eb="29">
      <t>エン</t>
    </rPh>
    <rPh sb="29" eb="31">
      <t>ヒョウジ</t>
    </rPh>
    <phoneticPr fontId="16"/>
  </si>
  <si>
    <t>公共工事設計労務単価</t>
    <phoneticPr fontId="16"/>
  </si>
  <si>
    <t>積算 （建築保全労務単価・公共工事設計労務単価×月日数）</t>
    <phoneticPr fontId="16"/>
  </si>
  <si>
    <t xml:space="preserve"> 下記（建築保全労務単価）</t>
    <phoneticPr fontId="6"/>
  </si>
  <si>
    <t>※１　付帯設備保守については、建築保全業務労務単価、公共工事設計労務単価を採用し、月日数を乗じる。</t>
    <phoneticPr fontId="16"/>
  </si>
  <si>
    <t>【1回／月】</t>
    <phoneticPr fontId="6"/>
  </si>
  <si>
    <t>閉庁日</t>
    <rPh sb="0" eb="2">
      <t>ヘイチョウ</t>
    </rPh>
    <rPh sb="2" eb="3">
      <t>ビ</t>
    </rPh>
    <phoneticPr fontId="6"/>
  </si>
  <si>
    <t>開庁日</t>
    <rPh sb="0" eb="2">
      <t>カイチョウ</t>
    </rPh>
    <rPh sb="2" eb="3">
      <t>ビ</t>
    </rPh>
    <phoneticPr fontId="6"/>
  </si>
  <si>
    <t>①</t>
    <phoneticPr fontId="6"/>
  </si>
  <si>
    <t>②</t>
    <phoneticPr fontId="6"/>
  </si>
  <si>
    <t>③</t>
    <phoneticPr fontId="6"/>
  </si>
  <si>
    <t>【開】９時間業務従事者</t>
    <rPh sb="1" eb="2">
      <t>ヒラ</t>
    </rPh>
    <phoneticPr fontId="16"/>
  </si>
  <si>
    <t>【閉庁日】</t>
    <rPh sb="1" eb="3">
      <t>ヘイチョウ</t>
    </rPh>
    <rPh sb="3" eb="4">
      <t>ビ</t>
    </rPh>
    <phoneticPr fontId="6"/>
  </si>
  <si>
    <t>２４時間業務従事者</t>
    <phoneticPr fontId="16"/>
  </si>
  <si>
    <t>１５時間業務従事者</t>
    <phoneticPr fontId="16"/>
  </si>
  <si>
    <t>【開庁日】</t>
    <phoneticPr fontId="6"/>
  </si>
  <si>
    <t>【閉】９時間業務従事者</t>
    <rPh sb="1" eb="2">
      <t>シ</t>
    </rPh>
    <phoneticPr fontId="16"/>
  </si>
  <si>
    <t>④</t>
    <phoneticPr fontId="6"/>
  </si>
  <si>
    <t>①＋②＋③＋④</t>
    <phoneticPr fontId="16"/>
  </si>
  <si>
    <r>
      <t>○９時間業務従事者（実労８時間）　　</t>
    </r>
    <r>
      <rPr>
        <b/>
        <sz val="11"/>
        <color rgb="FF000000"/>
        <rFont val="ＭＳ Ｐ明朝"/>
        <family val="1"/>
        <charset val="128"/>
      </rPr>
      <t>1名</t>
    </r>
    <phoneticPr fontId="16"/>
  </si>
  <si>
    <t>（田川）</t>
    <rPh sb="1" eb="3">
      <t>タガワ</t>
    </rPh>
    <phoneticPr fontId="16"/>
  </si>
  <si>
    <t>（飯塚・直方　共通）</t>
    <rPh sb="1" eb="3">
      <t>イイヅカ</t>
    </rPh>
    <rPh sb="4" eb="6">
      <t>ノオガタ</t>
    </rPh>
    <rPh sb="7" eb="9">
      <t>キョウツウ</t>
    </rPh>
    <phoneticPr fontId="16"/>
  </si>
  <si>
    <r>
      <t>○９時間業務従事者（実労８時間）　　</t>
    </r>
    <r>
      <rPr>
        <b/>
        <sz val="11"/>
        <color rgb="FF000000"/>
        <rFont val="ＭＳ Ｐ明朝"/>
        <family val="1"/>
        <charset val="128"/>
      </rPr>
      <t>2名</t>
    </r>
    <phoneticPr fontId="16"/>
  </si>
  <si>
    <t>９時間業務従事者</t>
    <phoneticPr fontId="16"/>
  </si>
  <si>
    <r>
      <t>○１５時間業務従事者（実労１０時間（深夜４時間））　　</t>
    </r>
    <r>
      <rPr>
        <b/>
        <sz val="11"/>
        <color rgb="FF000000"/>
        <rFont val="ＭＳ Ｐ明朝"/>
        <family val="1"/>
        <charset val="128"/>
      </rPr>
      <t>2名</t>
    </r>
    <phoneticPr fontId="16"/>
  </si>
  <si>
    <r>
      <t>○１５時間業務従事者（実労１０時間（深夜４時間））　　</t>
    </r>
    <r>
      <rPr>
        <b/>
        <sz val="11"/>
        <color rgb="FF000000"/>
        <rFont val="ＭＳ Ｐ明朝"/>
        <family val="1"/>
        <charset val="128"/>
      </rPr>
      <t>1名</t>
    </r>
    <phoneticPr fontId="16"/>
  </si>
  <si>
    <t>【開】１５時間業務従事者</t>
    <rPh sb="1" eb="2">
      <t>ヒラ</t>
    </rPh>
    <phoneticPr fontId="16"/>
  </si>
  <si>
    <t>【閉】１５時間業務従事者</t>
    <rPh sb="1" eb="2">
      <t>シ</t>
    </rPh>
    <phoneticPr fontId="16"/>
  </si>
  <si>
    <t>平成３２年度から３６年度までの総合委託積算書</t>
    <rPh sb="0" eb="2">
      <t>ヘイセイ</t>
    </rPh>
    <rPh sb="4" eb="6">
      <t>ネンド</t>
    </rPh>
    <rPh sb="10" eb="12">
      <t>ネンド</t>
    </rPh>
    <rPh sb="15" eb="17">
      <t>ソウゴウ</t>
    </rPh>
    <rPh sb="17" eb="19">
      <t>イタク</t>
    </rPh>
    <rPh sb="19" eb="21">
      <t>セキサン</t>
    </rPh>
    <rPh sb="21" eb="22">
      <t>ショ</t>
    </rPh>
    <phoneticPr fontId="16"/>
  </si>
  <si>
    <t>平成３１年度から３５年度までの総合委託積算書</t>
    <rPh sb="0" eb="2">
      <t>ヘイセイ</t>
    </rPh>
    <rPh sb="4" eb="6">
      <t>ネンド</t>
    </rPh>
    <rPh sb="10" eb="12">
      <t>ネンド</t>
    </rPh>
    <rPh sb="15" eb="17">
      <t>ソウゴウ</t>
    </rPh>
    <rPh sb="17" eb="19">
      <t>イタク</t>
    </rPh>
    <rPh sb="19" eb="21">
      <t>セキサン</t>
    </rPh>
    <rPh sb="21" eb="22">
      <t>ショ</t>
    </rPh>
    <phoneticPr fontId="16"/>
  </si>
  <si>
    <t>（豊前・糸島・宗像　共通）</t>
    <rPh sb="1" eb="3">
      <t>ブゼン</t>
    </rPh>
    <rPh sb="4" eb="6">
      <t>イトシマ</t>
    </rPh>
    <rPh sb="7" eb="9">
      <t>ムナカタ</t>
    </rPh>
    <phoneticPr fontId="16"/>
  </si>
  <si>
    <t>↑*13h</t>
    <phoneticPr fontId="16"/>
  </si>
  <si>
    <t>↑*6h</t>
    <phoneticPr fontId="16"/>
  </si>
  <si>
    <t>↑*3h</t>
    <phoneticPr fontId="16"/>
  </si>
  <si>
    <t>↑*4h</t>
    <phoneticPr fontId="16"/>
  </si>
  <si>
    <t>割増基礎単価（最低賃金ﾍﾞｰｽ）</t>
    <rPh sb="0" eb="2">
      <t>ワリマシ</t>
    </rPh>
    <rPh sb="2" eb="4">
      <t>キソ</t>
    </rPh>
    <rPh sb="4" eb="6">
      <t>タンカ</t>
    </rPh>
    <rPh sb="7" eb="9">
      <t>サイテイ</t>
    </rPh>
    <rPh sb="9" eb="11">
      <t>チンギン</t>
    </rPh>
    <phoneticPr fontId="16"/>
  </si>
  <si>
    <t>1h当たり最低賃金</t>
    <rPh sb="2" eb="3">
      <t>ア</t>
    </rPh>
    <rPh sb="5" eb="7">
      <t>サイテイ</t>
    </rPh>
    <rPh sb="7" eb="9">
      <t>チンギン</t>
    </rPh>
    <phoneticPr fontId="6"/>
  </si>
  <si>
    <t>（４）</t>
    <phoneticPr fontId="16"/>
  </si>
  <si>
    <t>↑*1h</t>
    <phoneticPr fontId="16"/>
  </si>
  <si>
    <t>（1）</t>
    <phoneticPr fontId="16"/>
  </si>
  <si>
    <t>深夜単価</t>
    <rPh sb="0" eb="2">
      <t>シンヤ</t>
    </rPh>
    <rPh sb="2" eb="4">
      <t>タンカ</t>
    </rPh>
    <phoneticPr fontId="16"/>
  </si>
  <si>
    <t>（１）＋（２）</t>
    <phoneticPr fontId="6"/>
  </si>
  <si>
    <t>（３）</t>
    <phoneticPr fontId="16"/>
  </si>
  <si>
    <t>深夜単価（最低賃金ﾍﾞｰｽ）</t>
    <rPh sb="0" eb="2">
      <t>シンヤ</t>
    </rPh>
    <rPh sb="2" eb="4">
      <t>タンカ</t>
    </rPh>
    <rPh sb="5" eb="7">
      <t>サイテイ</t>
    </rPh>
    <rPh sb="7" eb="9">
      <t>チンギン</t>
    </rPh>
    <phoneticPr fontId="16"/>
  </si>
  <si>
    <t>（３）＋（４）</t>
    <phoneticPr fontId="6"/>
  </si>
  <si>
    <t>↑*3h</t>
    <phoneticPr fontId="6"/>
  </si>
  <si>
    <t>①２４時間業務従事者</t>
    <phoneticPr fontId="16"/>
  </si>
  <si>
    <t>※拘束時間は、最低賃金を適用</t>
    <rPh sb="1" eb="3">
      <t>コウソク</t>
    </rPh>
    <rPh sb="3" eb="5">
      <t>ジカン</t>
    </rPh>
    <rPh sb="7" eb="9">
      <t>サイテイ</t>
    </rPh>
    <rPh sb="9" eb="11">
      <t>チンギン</t>
    </rPh>
    <rPh sb="12" eb="14">
      <t>テキヨウ</t>
    </rPh>
    <phoneticPr fontId="6"/>
  </si>
  <si>
    <r>
      <t>○２４時間業務従事者（実労</t>
    </r>
    <r>
      <rPr>
        <sz val="11"/>
        <color rgb="FF002060"/>
        <rFont val="ＭＳ Ｐ明朝"/>
        <family val="1"/>
        <charset val="128"/>
      </rPr>
      <t>２３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時間） うち拘束時間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４</t>
    </r>
    <r>
      <rPr>
        <sz val="11"/>
        <color rgb="FF000000"/>
        <rFont val="ＭＳ Ｐ明朝"/>
        <family val="1"/>
        <charset val="128"/>
      </rPr>
      <t>時間））　　１名</t>
    </r>
    <rPh sb="27" eb="29">
      <t>コウソク</t>
    </rPh>
    <rPh sb="29" eb="31">
      <t>ジカン</t>
    </rPh>
    <rPh sb="32" eb="34">
      <t>ジカン</t>
    </rPh>
    <rPh sb="35" eb="37">
      <t>シンヤ</t>
    </rPh>
    <rPh sb="38" eb="40">
      <t>ジカン</t>
    </rPh>
    <phoneticPr fontId="16"/>
  </si>
  <si>
    <r>
      <t>○１５時間業務従事者（実労</t>
    </r>
    <r>
      <rPr>
        <sz val="11"/>
        <color rgb="FF002060"/>
        <rFont val="ＭＳ Ｐ明朝"/>
        <family val="1"/>
        <charset val="128"/>
      </rPr>
      <t>１４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７</t>
    </r>
    <r>
      <rPr>
        <sz val="11"/>
        <color rgb="FF000000"/>
        <rFont val="ＭＳ Ｐ明朝"/>
        <family val="1"/>
        <charset val="128"/>
      </rPr>
      <t>時間） うち拘束時間</t>
    </r>
    <r>
      <rPr>
        <sz val="11"/>
        <color rgb="FF002060"/>
        <rFont val="ＭＳ Ｐ明朝"/>
        <family val="1"/>
        <charset val="128"/>
      </rPr>
      <t>４</t>
    </r>
    <r>
      <rPr>
        <sz val="11"/>
        <color rgb="FF000000"/>
        <rFont val="ＭＳ Ｐ明朝"/>
        <family val="1"/>
        <charset val="128"/>
      </rPr>
      <t>時間（深夜</t>
    </r>
    <r>
      <rPr>
        <sz val="11"/>
        <color rgb="FF002060"/>
        <rFont val="ＭＳ Ｐ明朝"/>
        <family val="1"/>
        <charset val="128"/>
      </rPr>
      <t>３</t>
    </r>
    <r>
      <rPr>
        <sz val="11"/>
        <color rgb="FF000000"/>
        <rFont val="ＭＳ Ｐ明朝"/>
        <family val="1"/>
        <charset val="128"/>
      </rPr>
      <t>時間））　　１名</t>
    </r>
    <phoneticPr fontId="16"/>
  </si>
  <si>
    <t>年１回</t>
    <rPh sb="0" eb="1">
      <t>ネン</t>
    </rPh>
    <rPh sb="2" eb="3">
      <t>カイ</t>
    </rPh>
    <phoneticPr fontId="6"/>
  </si>
  <si>
    <t>10％で計算</t>
    <rPh sb="4" eb="6">
      <t>ケイサン</t>
    </rPh>
    <phoneticPr fontId="6"/>
  </si>
  <si>
    <t>消費税相当額</t>
    <phoneticPr fontId="6"/>
  </si>
  <si>
    <t>警備業務</t>
    <rPh sb="0" eb="2">
      <t>ケイビ</t>
    </rPh>
    <rPh sb="2" eb="4">
      <t>ギョウム</t>
    </rPh>
    <phoneticPr fontId="6"/>
  </si>
  <si>
    <t>清掃業務</t>
    <rPh sb="0" eb="4">
      <t>セイソウギョウム</t>
    </rPh>
    <phoneticPr fontId="6"/>
  </si>
  <si>
    <t>　諸経費</t>
    <rPh sb="1" eb="4">
      <t>ショケイヒ</t>
    </rPh>
    <phoneticPr fontId="6"/>
  </si>
  <si>
    <t>日</t>
    <rPh sb="0" eb="1">
      <t>ニチ</t>
    </rPh>
    <phoneticPr fontId="6"/>
  </si>
  <si>
    <t>外掃</t>
    <rPh sb="0" eb="1">
      <t>ソト</t>
    </rPh>
    <rPh sb="1" eb="2">
      <t>ソウ</t>
    </rPh>
    <phoneticPr fontId="6"/>
  </si>
  <si>
    <t>じゅうたん清掃</t>
    <rPh sb="5" eb="7">
      <t>セイソウ</t>
    </rPh>
    <phoneticPr fontId="6"/>
  </si>
  <si>
    <t>ワックス剥離・塗布</t>
    <rPh sb="4" eb="6">
      <t>ハクリ</t>
    </rPh>
    <rPh sb="7" eb="9">
      <t>トフ</t>
    </rPh>
    <phoneticPr fontId="6"/>
  </si>
  <si>
    <t>屋外天井アルミスパン</t>
    <rPh sb="0" eb="2">
      <t>オクガイ</t>
    </rPh>
    <rPh sb="2" eb="4">
      <t>テンジョウ</t>
    </rPh>
    <phoneticPr fontId="6"/>
  </si>
  <si>
    <t>ブラインド</t>
    <phoneticPr fontId="6"/>
  </si>
  <si>
    <t>カーペット・じゅうたんクリーニング</t>
    <phoneticPr fontId="6"/>
  </si>
  <si>
    <t>年４回</t>
    <rPh sb="0" eb="1">
      <t>ネン</t>
    </rPh>
    <rPh sb="2" eb="3">
      <t>カイ</t>
    </rPh>
    <phoneticPr fontId="6"/>
  </si>
  <si>
    <t>年１回</t>
    <rPh sb="0" eb="1">
      <t>ネン</t>
    </rPh>
    <rPh sb="2" eb="3">
      <t>カイ</t>
    </rPh>
    <phoneticPr fontId="6"/>
  </si>
  <si>
    <t>年４回</t>
    <rPh sb="0" eb="1">
      <t>ネン</t>
    </rPh>
    <phoneticPr fontId="6"/>
  </si>
  <si>
    <t>照明器具</t>
    <rPh sb="0" eb="4">
      <t>ショウメイキグ</t>
    </rPh>
    <phoneticPr fontId="6"/>
  </si>
  <si>
    <t>吹出口・吹込口</t>
    <rPh sb="0" eb="2">
      <t>フキダ</t>
    </rPh>
    <rPh sb="2" eb="3">
      <t>グチ</t>
    </rPh>
    <rPh sb="4" eb="6">
      <t>フキコ</t>
    </rPh>
    <rPh sb="6" eb="7">
      <t>クチ</t>
    </rPh>
    <phoneticPr fontId="6"/>
  </si>
  <si>
    <t>便所・湯沸室</t>
    <rPh sb="0" eb="2">
      <t>ベンジョ</t>
    </rPh>
    <rPh sb="3" eb="6">
      <t>ユワカシシツ</t>
    </rPh>
    <phoneticPr fontId="6"/>
  </si>
  <si>
    <t>清掃面積(㎡)（照明器具（基）吹出口吹込口（個））</t>
    <rPh sb="8" eb="12">
      <t>ショウメイキグ</t>
    </rPh>
    <rPh sb="13" eb="14">
      <t>キ</t>
    </rPh>
    <rPh sb="15" eb="17">
      <t>フキダ</t>
    </rPh>
    <rPh sb="17" eb="18">
      <t>クチ</t>
    </rPh>
    <rPh sb="18" eb="20">
      <t>フキコ</t>
    </rPh>
    <rPh sb="20" eb="21">
      <t>クチ</t>
    </rPh>
    <rPh sb="22" eb="23">
      <t>コ</t>
    </rPh>
    <phoneticPr fontId="6"/>
  </si>
  <si>
    <t>自動扉保守</t>
    <rPh sb="0" eb="2">
      <t>ジドウ</t>
    </rPh>
    <rPh sb="2" eb="3">
      <t>トビラ</t>
    </rPh>
    <rPh sb="3" eb="5">
      <t>ホシュ</t>
    </rPh>
    <phoneticPr fontId="6"/>
  </si>
  <si>
    <t>諸経費</t>
  </si>
  <si>
    <t>消火器点検</t>
    <rPh sb="0" eb="3">
      <t>ショウカキ</t>
    </rPh>
    <rPh sb="3" eb="5">
      <t>テンケン</t>
    </rPh>
    <phoneticPr fontId="6"/>
  </si>
  <si>
    <t>害虫等の駆除</t>
    <rPh sb="0" eb="2">
      <t>ガイチュウ</t>
    </rPh>
    <rPh sb="2" eb="3">
      <t>トウ</t>
    </rPh>
    <rPh sb="4" eb="6">
      <t>クジョ</t>
    </rPh>
    <phoneticPr fontId="6"/>
  </si>
  <si>
    <t>　材料費</t>
    <rPh sb="1" eb="4">
      <t>ザイリョウヒ</t>
    </rPh>
    <phoneticPr fontId="6"/>
  </si>
  <si>
    <t>月１回　</t>
    <rPh sb="0" eb="1">
      <t>ゲツ</t>
    </rPh>
    <rPh sb="2" eb="3">
      <t>カイ</t>
    </rPh>
    <phoneticPr fontId="6"/>
  </si>
  <si>
    <t>メンテナンスブリッジ点検整備</t>
    <rPh sb="10" eb="12">
      <t>テンケン</t>
    </rPh>
    <rPh sb="12" eb="14">
      <t>セイビ</t>
    </rPh>
    <phoneticPr fontId="6"/>
  </si>
  <si>
    <t>（税込み）</t>
    <rPh sb="1" eb="3">
      <t>ゼイコ</t>
    </rPh>
    <phoneticPr fontId="6"/>
  </si>
  <si>
    <t xml:space="preserve">    小  　　　　　計  ③</t>
    <phoneticPr fontId="6"/>
  </si>
  <si>
    <t xml:space="preserve">    小  　　　　　計  ④</t>
    <phoneticPr fontId="6"/>
  </si>
  <si>
    <t xml:space="preserve">    小  　　　　　計  ⑤</t>
    <phoneticPr fontId="6"/>
  </si>
  <si>
    <t xml:space="preserve">    小  　　　　　計  ⑥</t>
    <phoneticPr fontId="6"/>
  </si>
  <si>
    <t>　労務費</t>
    <rPh sb="1" eb="3">
      <t>ロウム</t>
    </rPh>
    <rPh sb="3" eb="4">
      <t>ヒ</t>
    </rPh>
    <phoneticPr fontId="6"/>
  </si>
  <si>
    <t>一回当り</t>
    <rPh sb="2" eb="3">
      <t>アタ</t>
    </rPh>
    <phoneticPr fontId="6"/>
  </si>
  <si>
    <t>一回当り</t>
    <rPh sb="0" eb="2">
      <t>イッカイ</t>
    </rPh>
    <rPh sb="2" eb="3">
      <t>アタ</t>
    </rPh>
    <phoneticPr fontId="6"/>
  </si>
  <si>
    <t>警備・清掃　合計　（①+②）③</t>
    <rPh sb="0" eb="2">
      <t>ケイビ</t>
    </rPh>
    <rPh sb="3" eb="5">
      <t>セイソウ</t>
    </rPh>
    <rPh sb="6" eb="8">
      <t>ゴウケイ</t>
    </rPh>
    <phoneticPr fontId="6"/>
  </si>
  <si>
    <t>年間委託料(税抜) (③+④+⑤＋⑥)</t>
    <rPh sb="6" eb="7">
      <t>ゼイ</t>
    </rPh>
    <rPh sb="7" eb="8">
      <t>ヌ</t>
    </rPh>
    <phoneticPr fontId="6"/>
  </si>
  <si>
    <t>２か月に１回
（剥離後ワックス３層以上）</t>
    <rPh sb="2" eb="3">
      <t>ゲツ</t>
    </rPh>
    <rPh sb="5" eb="6">
      <t>カイ</t>
    </rPh>
    <phoneticPr fontId="6"/>
  </si>
  <si>
    <t>年間（月）</t>
    <rPh sb="0" eb="2">
      <t>ネンカン</t>
    </rPh>
    <rPh sb="3" eb="4">
      <t>ツキ</t>
    </rPh>
    <phoneticPr fontId="6"/>
  </si>
  <si>
    <t>年間（回）</t>
    <rPh sb="0" eb="2">
      <t>ネンカン</t>
    </rPh>
    <rPh sb="3" eb="4">
      <t>カイ</t>
    </rPh>
    <phoneticPr fontId="6"/>
  </si>
  <si>
    <t>じんかい等搬出処理　</t>
    <rPh sb="4" eb="5">
      <t>トウ</t>
    </rPh>
    <rPh sb="5" eb="7">
      <t>ハンシュツ</t>
    </rPh>
    <rPh sb="7" eb="9">
      <t>ショリ</t>
    </rPh>
    <phoneticPr fontId="6"/>
  </si>
  <si>
    <t xml:space="preserve">      県庁舎議会棟１ヶ月間の委託料</t>
    <rPh sb="6" eb="9">
      <t>ケンチョウシャ</t>
    </rPh>
    <rPh sb="9" eb="12">
      <t>ギカイトウ</t>
    </rPh>
    <phoneticPr fontId="6"/>
  </si>
  <si>
    <t xml:space="preserve"> 福岡県庁舎議会棟警備及び清掃等業務委託（費用内訳書）</t>
    <rPh sb="1" eb="3">
      <t>フクオカ</t>
    </rPh>
    <rPh sb="3" eb="4">
      <t>ケン</t>
    </rPh>
    <rPh sb="4" eb="6">
      <t>チョウシャ</t>
    </rPh>
    <rPh sb="6" eb="9">
      <t>ギカイトウ</t>
    </rPh>
    <rPh sb="9" eb="11">
      <t>ケイビ</t>
    </rPh>
    <rPh sb="15" eb="16">
      <t>トウ</t>
    </rPh>
    <rPh sb="21" eb="23">
      <t>ヒヨウ</t>
    </rPh>
    <rPh sb="25" eb="26">
      <t>ショ</t>
    </rPh>
    <phoneticPr fontId="6"/>
  </si>
  <si>
    <t>廊下・玄関ホール等
(カーペット除く）</t>
    <rPh sb="3" eb="5">
      <t>ゲンカン</t>
    </rPh>
    <rPh sb="16" eb="17">
      <t>ノゾ</t>
    </rPh>
    <phoneticPr fontId="6"/>
  </si>
  <si>
    <t>事務局・会議室等
（カーペット）</t>
    <rPh sb="0" eb="3">
      <t>ジムキョク</t>
    </rPh>
    <rPh sb="4" eb="7">
      <t>カイギシツ</t>
    </rPh>
    <rPh sb="7" eb="8">
      <t>トウ</t>
    </rPh>
    <phoneticPr fontId="6"/>
  </si>
  <si>
    <t>　人件費</t>
    <rPh sb="1" eb="4">
      <t>ジンケンヒ</t>
    </rPh>
    <phoneticPr fontId="6"/>
  </si>
  <si>
    <t>池</t>
    <rPh sb="0" eb="1">
      <t>イケ</t>
    </rPh>
    <phoneticPr fontId="6"/>
  </si>
  <si>
    <t>窓ガラス</t>
    <rPh sb="0" eb="1">
      <t>マド</t>
    </rPh>
    <phoneticPr fontId="6"/>
  </si>
  <si>
    <t>　点検整備</t>
    <rPh sb="1" eb="5">
      <t>テンケンセイビ</t>
    </rPh>
    <phoneticPr fontId="6"/>
  </si>
  <si>
    <t>　機器点検</t>
    <rPh sb="1" eb="3">
      <t>キキ</t>
    </rPh>
    <rPh sb="3" eb="5">
      <t>テンケン</t>
    </rPh>
    <phoneticPr fontId="6"/>
  </si>
  <si>
    <t>定期</t>
    <rPh sb="0" eb="1">
      <t>サダ</t>
    </rPh>
    <rPh sb="1" eb="2">
      <t>キ</t>
    </rPh>
    <phoneticPr fontId="6"/>
  </si>
  <si>
    <t>契約期間(年)</t>
  </si>
  <si>
    <t>入札者名</t>
    <rPh sb="0" eb="4">
      <t>ニュウサツシャメイ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</si>
</sst>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0.0_ "/>
    <numFmt numFmtId="178" formatCode="#,##0_ "/>
    <numFmt numFmtId="179" formatCode="#,##0.0000;[Red]\-#,##0.0000"/>
    <numFmt numFmtId="180" formatCode="#,##0.00_ ;[Red]\-#,##0.00\ "/>
    <numFmt numFmtId="181" formatCode="#,##0&quot;円&quot;"/>
    <numFmt numFmtId="182" formatCode="#,##0.0;[Red]\-#,##0.0"/>
    <numFmt numFmtId="183" formatCode="#,##0.00000000000_ "/>
    <numFmt numFmtId="184" formatCode="#,##0_);[Red]\(#,##0\)"/>
    <numFmt numFmtId="185" formatCode="&quot;÷　&quot;#,##0"/>
    <numFmt numFmtId="186" formatCode="0.00000000000_ "/>
  </numFmts>
  <fonts count="41" x14ac:knownFonts="1">
    <font>
      <sz val="12"/>
      <name val="ＭＳ 明朝"/>
      <family val="1"/>
    </font>
    <font>
      <sz val="12"/>
      <name val="ＭＳ 明朝"/>
      <family val="1"/>
    </font>
    <font>
      <sz val="16"/>
      <name val="ＭＳ 明朝"/>
      <family val="1"/>
    </font>
    <font>
      <sz val="12"/>
      <name val="ＭＳ 明朝"/>
      <family val="1"/>
    </font>
    <font>
      <sz val="12"/>
      <name val="ＭＳ 明朝"/>
      <family val="1"/>
    </font>
    <font>
      <sz val="12"/>
      <name val="ＭＳ 明朝"/>
      <family val="1"/>
    </font>
    <font>
      <sz val="6"/>
      <name val="ＭＳ Ｐ明朝"/>
      <family val="1"/>
      <charset val="128"/>
    </font>
    <font>
      <b/>
      <sz val="16"/>
      <name val="HG丸ｺﾞｼｯｸM-PRO"/>
      <family val="3"/>
      <charset val="128"/>
    </font>
    <font>
      <sz val="9"/>
      <name val="ＭＳ 明朝"/>
      <family val="1"/>
    </font>
    <font>
      <sz val="11"/>
      <name val="ＭＳ 明朝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ＭＳ 明朝"/>
      <family val="1"/>
    </font>
    <font>
      <b/>
      <sz val="11"/>
      <name val="ＭＳ 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u/>
      <sz val="11"/>
      <color rgb="FF000000"/>
      <name val="ＭＳ Ｐ明朝"/>
      <family val="1"/>
      <charset val="128"/>
    </font>
    <font>
      <u val="double"/>
      <sz val="11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70C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.5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i/>
      <sz val="9"/>
      <name val="ＭＳ 明朝"/>
      <family val="1"/>
    </font>
    <font>
      <b/>
      <sz val="12"/>
      <name val="ＭＳ ゴシック"/>
      <family val="3"/>
      <charset val="128"/>
    </font>
    <font>
      <i/>
      <sz val="12"/>
      <name val="ＭＳ 明朝"/>
      <family val="1"/>
    </font>
    <font>
      <u/>
      <sz val="12"/>
      <name val="ＭＳ 明朝"/>
      <family val="1"/>
    </font>
    <font>
      <sz val="12"/>
      <color indexed="8"/>
      <name val="ＭＳ 明朝"/>
      <family val="1"/>
    </font>
    <font>
      <sz val="8"/>
      <name val="ＭＳ 明朝"/>
      <family val="1"/>
      <charset val="128"/>
    </font>
    <font>
      <sz val="1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0" fillId="0" borderId="0"/>
  </cellStyleXfs>
  <cellXfs count="281">
    <xf numFmtId="0" fontId="0" fillId="0" borderId="0" xfId="0"/>
    <xf numFmtId="3" fontId="1" fillId="0" borderId="0" xfId="0" applyNumberFormat="1" applyFont="1" applyAlignment="1"/>
    <xf numFmtId="3" fontId="2" fillId="0" borderId="0" xfId="0" applyNumberFormat="1" applyFont="1" applyAlignment="1"/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5" fillId="0" borderId="0" xfId="0" applyNumberFormat="1" applyFont="1" applyAlignment="1"/>
    <xf numFmtId="3" fontId="1" fillId="0" borderId="1" xfId="0" applyNumberFormat="1" applyFont="1" applyBorder="1" applyAlignment="1"/>
    <xf numFmtId="3" fontId="1" fillId="0" borderId="2" xfId="0" applyNumberFormat="1" applyFont="1" applyBorder="1" applyAlignment="1"/>
    <xf numFmtId="3" fontId="8" fillId="0" borderId="2" xfId="0" applyNumberFormat="1" applyFont="1" applyBorder="1" applyAlignment="1"/>
    <xf numFmtId="0" fontId="5" fillId="0" borderId="9" xfId="0" applyNumberFormat="1" applyFont="1" applyBorder="1" applyAlignment="1"/>
    <xf numFmtId="177" fontId="5" fillId="0" borderId="9" xfId="0" applyNumberFormat="1" applyFont="1" applyBorder="1" applyAlignment="1"/>
    <xf numFmtId="3" fontId="1" fillId="0" borderId="10" xfId="0" applyNumberFormat="1" applyFont="1" applyBorder="1" applyAlignment="1"/>
    <xf numFmtId="0" fontId="5" fillId="0" borderId="11" xfId="0" applyNumberFormat="1" applyFont="1" applyBorder="1" applyAlignment="1"/>
    <xf numFmtId="3" fontId="8" fillId="0" borderId="10" xfId="0" applyNumberFormat="1" applyFont="1" applyBorder="1" applyAlignment="1">
      <alignment vertical="distributed" wrapText="1"/>
    </xf>
    <xf numFmtId="0" fontId="11" fillId="0" borderId="0" xfId="2" applyFont="1"/>
    <xf numFmtId="0" fontId="11" fillId="0" borderId="0" xfId="2" applyFont="1" applyAlignment="1">
      <alignment horizontal="center"/>
    </xf>
    <xf numFmtId="178" fontId="11" fillId="0" borderId="0" xfId="2" applyNumberFormat="1" applyFont="1"/>
    <xf numFmtId="0" fontId="11" fillId="0" borderId="9" xfId="2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12" xfId="2" applyFont="1" applyBorder="1" applyAlignment="1">
      <alignment horizontal="center" vertical="center"/>
    </xf>
    <xf numFmtId="178" fontId="11" fillId="0" borderId="12" xfId="2" applyNumberFormat="1" applyFont="1" applyBorder="1" applyAlignment="1">
      <alignment vertical="center"/>
    </xf>
    <xf numFmtId="0" fontId="11" fillId="0" borderId="12" xfId="2" quotePrefix="1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1" fillId="0" borderId="13" xfId="2" quotePrefix="1" applyFont="1" applyBorder="1" applyAlignment="1">
      <alignment horizontal="left" vertical="center"/>
    </xf>
    <xf numFmtId="178" fontId="11" fillId="0" borderId="13" xfId="2" applyNumberFormat="1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1" fillId="0" borderId="13" xfId="2" quotePrefix="1" applyFont="1" applyBorder="1" applyAlignment="1">
      <alignment horizontal="left" vertical="center" wrapText="1"/>
    </xf>
    <xf numFmtId="0" fontId="11" fillId="0" borderId="14" xfId="2" applyFont="1" applyBorder="1" applyAlignment="1">
      <alignment horizontal="center" vertical="center"/>
    </xf>
    <xf numFmtId="178" fontId="11" fillId="0" borderId="14" xfId="2" applyNumberFormat="1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178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178" fontId="11" fillId="0" borderId="15" xfId="2" applyNumberFormat="1" applyFont="1" applyBorder="1" applyAlignment="1">
      <alignment vertical="center"/>
    </xf>
    <xf numFmtId="178" fontId="11" fillId="0" borderId="9" xfId="2" applyNumberFormat="1" applyFont="1" applyBorder="1" applyAlignment="1">
      <alignment horizontal="center" vertical="center" wrapText="1"/>
    </xf>
    <xf numFmtId="178" fontId="11" fillId="0" borderId="16" xfId="2" applyNumberFormat="1" applyFont="1" applyBorder="1" applyAlignment="1">
      <alignment vertical="center"/>
    </xf>
    <xf numFmtId="178" fontId="11" fillId="0" borderId="12" xfId="2" applyNumberFormat="1" applyFont="1" applyBorder="1" applyAlignment="1">
      <alignment horizontal="center" vertical="center"/>
    </xf>
    <xf numFmtId="178" fontId="11" fillId="0" borderId="13" xfId="2" applyNumberFormat="1" applyFont="1" applyBorder="1" applyAlignment="1">
      <alignment horizontal="center" vertical="center"/>
    </xf>
    <xf numFmtId="178" fontId="11" fillId="0" borderId="14" xfId="2" applyNumberFormat="1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9" fillId="0" borderId="13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/>
    <xf numFmtId="0" fontId="7" fillId="0" borderId="0" xfId="2" quotePrefix="1" applyFont="1" applyAlignment="1"/>
    <xf numFmtId="178" fontId="12" fillId="0" borderId="0" xfId="2" applyNumberFormat="1" applyFont="1" applyAlignment="1"/>
    <xf numFmtId="0" fontId="13" fillId="0" borderId="17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3" fontId="8" fillId="0" borderId="3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1" fillId="0" borderId="0" xfId="0" applyNumberFormat="1" applyFont="1" applyBorder="1" applyAlignment="1"/>
    <xf numFmtId="3" fontId="8" fillId="0" borderId="0" xfId="0" applyNumberFormat="1" applyFont="1" applyBorder="1" applyAlignment="1">
      <alignment vertical="center"/>
    </xf>
    <xf numFmtId="0" fontId="13" fillId="0" borderId="19" xfId="2" applyFont="1" applyBorder="1" applyAlignment="1">
      <alignment horizontal="center"/>
    </xf>
    <xf numFmtId="3" fontId="3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0" fontId="9" fillId="0" borderId="9" xfId="2" quotePrefix="1" applyFont="1" applyBorder="1" applyAlignment="1">
      <alignment horizontal="center" vertical="center"/>
    </xf>
    <xf numFmtId="0" fontId="9" fillId="0" borderId="14" xfId="2" applyFont="1" applyBorder="1" applyAlignment="1">
      <alignment vertical="center"/>
    </xf>
    <xf numFmtId="3" fontId="2" fillId="0" borderId="0" xfId="0" applyNumberFormat="1" applyFont="1" applyFill="1" applyBorder="1" applyAlignment="1"/>
    <xf numFmtId="3" fontId="7" fillId="0" borderId="0" xfId="2" applyNumberFormat="1" applyFont="1"/>
    <xf numFmtId="3" fontId="8" fillId="0" borderId="7" xfId="0" applyNumberFormat="1" applyFont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38" fontId="17" fillId="0" borderId="9" xfId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/>
    </xf>
    <xf numFmtId="38" fontId="19" fillId="0" borderId="9" xfId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0" fontId="19" fillId="0" borderId="9" xfId="1" applyNumberFormat="1" applyFont="1" applyFill="1" applyBorder="1" applyAlignment="1">
      <alignment vertical="center"/>
    </xf>
    <xf numFmtId="0" fontId="19" fillId="0" borderId="0" xfId="0" quotePrefix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38" fontId="19" fillId="0" borderId="9" xfId="0" applyNumberFormat="1" applyFont="1" applyFill="1" applyBorder="1" applyAlignment="1">
      <alignment vertical="center"/>
    </xf>
    <xf numFmtId="4" fontId="19" fillId="0" borderId="9" xfId="1" applyNumberFormat="1" applyFont="1" applyFill="1" applyBorder="1" applyAlignment="1">
      <alignment vertical="center"/>
    </xf>
    <xf numFmtId="0" fontId="22" fillId="0" borderId="0" xfId="0" quotePrefix="1" applyFont="1" applyFill="1" applyBorder="1" applyAlignment="1">
      <alignment vertical="center"/>
    </xf>
    <xf numFmtId="0" fontId="23" fillId="0" borderId="0" xfId="0" quotePrefix="1" applyFont="1" applyFill="1" applyBorder="1" applyAlignment="1">
      <alignment vertical="center"/>
    </xf>
    <xf numFmtId="0" fontId="19" fillId="0" borderId="38" xfId="0" applyFont="1" applyFill="1" applyBorder="1" applyAlignment="1">
      <alignment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vertical="center"/>
    </xf>
    <xf numFmtId="0" fontId="19" fillId="0" borderId="40" xfId="0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24" fillId="0" borderId="9" xfId="0" applyFont="1" applyFill="1" applyBorder="1" applyAlignment="1">
      <alignment shrinkToFit="1"/>
    </xf>
    <xf numFmtId="0" fontId="25" fillId="0" borderId="9" xfId="0" applyFont="1" applyFill="1" applyBorder="1" applyAlignment="1">
      <alignment vertical="center"/>
    </xf>
    <xf numFmtId="2" fontId="19" fillId="0" borderId="0" xfId="0" applyNumberFormat="1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0" borderId="30" xfId="0" applyFont="1" applyFill="1" applyBorder="1" applyAlignment="1">
      <alignment vertical="center"/>
    </xf>
    <xf numFmtId="0" fontId="19" fillId="0" borderId="42" xfId="0" applyFont="1" applyFill="1" applyBorder="1" applyAlignment="1">
      <alignment vertical="center"/>
    </xf>
    <xf numFmtId="0" fontId="19" fillId="0" borderId="32" xfId="0" applyFont="1" applyFill="1" applyBorder="1" applyAlignment="1">
      <alignment vertical="center"/>
    </xf>
    <xf numFmtId="0" fontId="19" fillId="0" borderId="43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/>
    </xf>
    <xf numFmtId="0" fontId="17" fillId="0" borderId="32" xfId="0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shrinkToFit="1"/>
    </xf>
    <xf numFmtId="0" fontId="25" fillId="0" borderId="0" xfId="0" applyFont="1" applyFill="1" applyBorder="1" applyAlignment="1">
      <alignment vertical="center"/>
    </xf>
    <xf numFmtId="38" fontId="25" fillId="0" borderId="9" xfId="1" applyFont="1" applyFill="1" applyBorder="1" applyAlignment="1">
      <alignment vertical="center"/>
    </xf>
    <xf numFmtId="179" fontId="17" fillId="0" borderId="9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0" fontId="19" fillId="0" borderId="33" xfId="0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 vertical="center"/>
    </xf>
    <xf numFmtId="40" fontId="19" fillId="0" borderId="39" xfId="0" applyNumberFormat="1" applyFont="1" applyFill="1" applyBorder="1" applyAlignment="1">
      <alignment horizontal="left" vertical="center"/>
    </xf>
    <xf numFmtId="180" fontId="19" fillId="0" borderId="9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quotePrefix="1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181" fontId="19" fillId="0" borderId="34" xfId="0" applyNumberFormat="1" applyFont="1" applyFill="1" applyBorder="1" applyAlignment="1">
      <alignment horizontal="right" vertical="center"/>
    </xf>
    <xf numFmtId="181" fontId="19" fillId="0" borderId="13" xfId="0" applyNumberFormat="1" applyFont="1" applyFill="1" applyBorder="1" applyAlignment="1">
      <alignment horizontal="right" vertical="center"/>
    </xf>
    <xf numFmtId="181" fontId="19" fillId="0" borderId="9" xfId="0" applyNumberFormat="1" applyFont="1" applyFill="1" applyBorder="1" applyAlignment="1">
      <alignment horizontal="right" vertical="center"/>
    </xf>
    <xf numFmtId="0" fontId="19" fillId="0" borderId="41" xfId="0" applyFont="1" applyFill="1" applyBorder="1" applyAlignment="1">
      <alignment vertical="center" shrinkToFit="1"/>
    </xf>
    <xf numFmtId="0" fontId="19" fillId="0" borderId="40" xfId="0" applyFont="1" applyFill="1" applyBorder="1" applyAlignment="1">
      <alignment vertical="center" wrapText="1"/>
    </xf>
    <xf numFmtId="40" fontId="17" fillId="0" borderId="9" xfId="0" applyNumberFormat="1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 vertical="center"/>
    </xf>
    <xf numFmtId="182" fontId="19" fillId="0" borderId="9" xfId="1" applyNumberFormat="1" applyFont="1" applyFill="1" applyBorder="1" applyAlignment="1">
      <alignment vertical="center"/>
    </xf>
    <xf numFmtId="38" fontId="17" fillId="0" borderId="9" xfId="1" applyNumberFormat="1" applyFont="1" applyFill="1" applyBorder="1" applyAlignment="1">
      <alignment vertical="center"/>
    </xf>
    <xf numFmtId="38" fontId="19" fillId="0" borderId="9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 indent="2"/>
    </xf>
    <xf numFmtId="0" fontId="19" fillId="0" borderId="0" xfId="0" quotePrefix="1" applyFont="1" applyFill="1" applyBorder="1" applyAlignment="1">
      <alignment horizontal="left" vertical="center" indent="2"/>
    </xf>
    <xf numFmtId="0" fontId="29" fillId="0" borderId="9" xfId="0" applyFont="1" applyFill="1" applyBorder="1" applyAlignment="1">
      <alignment vertical="center"/>
    </xf>
    <xf numFmtId="182" fontId="29" fillId="0" borderId="9" xfId="1" applyNumberFormat="1" applyFont="1" applyFill="1" applyBorder="1" applyAlignment="1">
      <alignment vertical="center"/>
    </xf>
    <xf numFmtId="182" fontId="25" fillId="0" borderId="9" xfId="1" applyNumberFormat="1" applyFont="1" applyFill="1" applyBorder="1" applyAlignment="1">
      <alignment vertical="center"/>
    </xf>
    <xf numFmtId="38" fontId="29" fillId="0" borderId="9" xfId="1" applyNumberFormat="1" applyFont="1" applyFill="1" applyBorder="1" applyAlignment="1">
      <alignment vertical="center"/>
    </xf>
    <xf numFmtId="0" fontId="29" fillId="0" borderId="9" xfId="0" applyFont="1" applyFill="1" applyBorder="1" applyAlignment="1">
      <alignment vertical="center" shrinkToFit="1"/>
    </xf>
    <xf numFmtId="49" fontId="29" fillId="0" borderId="0" xfId="0" applyNumberFormat="1" applyFont="1" applyFill="1" applyBorder="1" applyAlignment="1">
      <alignment vertical="center"/>
    </xf>
    <xf numFmtId="40" fontId="29" fillId="0" borderId="9" xfId="1" applyNumberFormat="1" applyFont="1" applyFill="1" applyBorder="1" applyAlignment="1">
      <alignment vertical="center"/>
    </xf>
    <xf numFmtId="38" fontId="19" fillId="0" borderId="0" xfId="1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 indent="2"/>
    </xf>
    <xf numFmtId="0" fontId="31" fillId="0" borderId="0" xfId="0" applyFont="1" applyFill="1" applyBorder="1" applyAlignment="1">
      <alignment horizontal="left" vertical="center" indent="2"/>
    </xf>
    <xf numFmtId="0" fontId="32" fillId="0" borderId="0" xfId="0" applyFont="1" applyFill="1" applyBorder="1" applyAlignment="1">
      <alignment vertical="center"/>
    </xf>
    <xf numFmtId="0" fontId="9" fillId="2" borderId="13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178" fontId="11" fillId="2" borderId="13" xfId="2" applyNumberFormat="1" applyFont="1" applyFill="1" applyBorder="1" applyAlignment="1">
      <alignment vertical="center"/>
    </xf>
    <xf numFmtId="178" fontId="11" fillId="2" borderId="13" xfId="2" applyNumberFormat="1" applyFont="1" applyFill="1" applyBorder="1" applyAlignment="1">
      <alignment horizontal="center" vertical="center"/>
    </xf>
    <xf numFmtId="178" fontId="11" fillId="2" borderId="12" xfId="2" applyNumberFormat="1" applyFont="1" applyFill="1" applyBorder="1" applyAlignment="1">
      <alignment vertical="center"/>
    </xf>
    <xf numFmtId="3" fontId="0" fillId="0" borderId="4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3" fontId="1" fillId="0" borderId="2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8" fillId="0" borderId="45" xfId="0" applyNumberFormat="1" applyFont="1" applyBorder="1" applyAlignment="1">
      <alignment vertical="center" wrapText="1"/>
    </xf>
    <xf numFmtId="3" fontId="8" fillId="0" borderId="47" xfId="0" applyNumberFormat="1" applyFont="1" applyBorder="1" applyAlignment="1">
      <alignment vertical="center" wrapText="1"/>
    </xf>
    <xf numFmtId="3" fontId="8" fillId="0" borderId="45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 wrapText="1"/>
    </xf>
    <xf numFmtId="3" fontId="8" fillId="0" borderId="46" xfId="0" applyNumberFormat="1" applyFont="1" applyBorder="1" applyAlignment="1">
      <alignment vertical="center"/>
    </xf>
    <xf numFmtId="3" fontId="8" fillId="0" borderId="4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0" fontId="1" fillId="0" borderId="0" xfId="0" applyNumberFormat="1" applyFont="1" applyAlignment="1"/>
    <xf numFmtId="3" fontId="1" fillId="0" borderId="2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vertical="center"/>
    </xf>
    <xf numFmtId="3" fontId="8" fillId="0" borderId="51" xfId="0" applyNumberFormat="1" applyFont="1" applyBorder="1" applyAlignment="1">
      <alignment vertical="center"/>
    </xf>
    <xf numFmtId="0" fontId="1" fillId="0" borderId="0" xfId="0" applyNumberFormat="1" applyFont="1" applyBorder="1" applyAlignment="1"/>
    <xf numFmtId="177" fontId="1" fillId="0" borderId="0" xfId="0" applyNumberFormat="1" applyFont="1" applyBorder="1" applyAlignment="1"/>
    <xf numFmtId="3" fontId="1" fillId="0" borderId="10" xfId="0" applyNumberFormat="1" applyFont="1" applyBorder="1" applyAlignment="1">
      <alignment vertical="center"/>
    </xf>
    <xf numFmtId="3" fontId="0" fillId="0" borderId="28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3" fontId="1" fillId="0" borderId="52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/>
    </xf>
    <xf numFmtId="3" fontId="1" fillId="0" borderId="54" xfId="0" applyNumberFormat="1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0" fillId="0" borderId="24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3" fontId="35" fillId="0" borderId="55" xfId="0" applyNumberFormat="1" applyFont="1" applyBorder="1" applyAlignment="1">
      <alignment vertical="center"/>
    </xf>
    <xf numFmtId="3" fontId="36" fillId="0" borderId="0" xfId="0" applyNumberFormat="1" applyFont="1" applyBorder="1" applyAlignment="1"/>
    <xf numFmtId="3" fontId="37" fillId="0" borderId="0" xfId="0" applyNumberFormat="1" applyFont="1" applyAlignment="1"/>
    <xf numFmtId="3" fontId="38" fillId="0" borderId="0" xfId="0" applyNumberFormat="1" applyFont="1" applyAlignment="1"/>
    <xf numFmtId="3" fontId="0" fillId="0" borderId="2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176" fontId="1" fillId="0" borderId="50" xfId="0" applyNumberFormat="1" applyFont="1" applyBorder="1" applyAlignment="1">
      <alignment vertical="center"/>
    </xf>
    <xf numFmtId="3" fontId="0" fillId="0" borderId="3" xfId="0" applyNumberFormat="1" applyFont="1" applyBorder="1" applyAlignment="1">
      <alignment horizontal="center" vertical="center"/>
    </xf>
    <xf numFmtId="3" fontId="1" fillId="0" borderId="62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8" fillId="0" borderId="61" xfId="0" applyNumberFormat="1" applyFont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3" fontId="0" fillId="0" borderId="22" xfId="0" applyNumberFormat="1" applyFont="1" applyBorder="1" applyAlignment="1">
      <alignment vertical="center"/>
    </xf>
    <xf numFmtId="3" fontId="0" fillId="0" borderId="4" xfId="0" applyNumberFormat="1" applyFont="1" applyBorder="1" applyAlignment="1">
      <alignment vertical="center" wrapText="1"/>
    </xf>
    <xf numFmtId="3" fontId="8" fillId="3" borderId="46" xfId="0" applyNumberFormat="1" applyFont="1" applyFill="1" applyBorder="1" applyAlignment="1">
      <alignment vertical="center"/>
    </xf>
    <xf numFmtId="3" fontId="8" fillId="0" borderId="64" xfId="0" applyNumberFormat="1" applyFont="1" applyBorder="1" applyAlignment="1">
      <alignment vertical="center" wrapText="1"/>
    </xf>
    <xf numFmtId="3" fontId="8" fillId="0" borderId="65" xfId="0" applyNumberFormat="1" applyFont="1" applyBorder="1" applyAlignment="1">
      <alignment vertical="center" wrapText="1"/>
    </xf>
    <xf numFmtId="3" fontId="0" fillId="0" borderId="66" xfId="0" applyNumberFormat="1" applyFont="1" applyBorder="1" applyAlignment="1">
      <alignment vertical="center"/>
    </xf>
    <xf numFmtId="3" fontId="0" fillId="0" borderId="5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3" fontId="0" fillId="0" borderId="63" xfId="0" applyNumberFormat="1" applyFont="1" applyBorder="1" applyAlignment="1">
      <alignment vertical="center"/>
    </xf>
    <xf numFmtId="3" fontId="1" fillId="0" borderId="70" xfId="0" applyNumberFormat="1" applyFont="1" applyBorder="1" applyAlignment="1">
      <alignment vertical="center"/>
    </xf>
    <xf numFmtId="3" fontId="0" fillId="0" borderId="71" xfId="0" applyNumberFormat="1" applyFont="1" applyBorder="1" applyAlignment="1">
      <alignment horizontal="left" vertical="center"/>
    </xf>
    <xf numFmtId="3" fontId="1" fillId="0" borderId="72" xfId="0" applyNumberFormat="1" applyFont="1" applyBorder="1" applyAlignment="1">
      <alignment vertical="center"/>
    </xf>
    <xf numFmtId="3" fontId="1" fillId="0" borderId="73" xfId="0" applyNumberFormat="1" applyFont="1" applyBorder="1" applyAlignment="1">
      <alignment vertical="center"/>
    </xf>
    <xf numFmtId="3" fontId="10" fillId="0" borderId="74" xfId="0" applyNumberFormat="1" applyFont="1" applyBorder="1" applyAlignment="1">
      <alignment vertical="center"/>
    </xf>
    <xf numFmtId="3" fontId="0" fillId="0" borderId="69" xfId="0" applyNumberFormat="1" applyFont="1" applyBorder="1" applyAlignment="1">
      <alignment horizontal="center" vertical="center"/>
    </xf>
    <xf numFmtId="4" fontId="3" fillId="0" borderId="62" xfId="0" applyNumberFormat="1" applyFont="1" applyBorder="1" applyAlignment="1">
      <alignment vertical="center"/>
    </xf>
    <xf numFmtId="3" fontId="8" fillId="0" borderId="63" xfId="0" applyNumberFormat="1" applyFont="1" applyBorder="1" applyAlignment="1">
      <alignment vertical="center"/>
    </xf>
    <xf numFmtId="3" fontId="0" fillId="0" borderId="75" xfId="0" applyNumberFormat="1" applyFont="1" applyBorder="1" applyAlignment="1">
      <alignment vertical="center"/>
    </xf>
    <xf numFmtId="176" fontId="1" fillId="0" borderId="70" xfId="0" applyNumberFormat="1" applyFont="1" applyBorder="1" applyAlignment="1">
      <alignment vertical="center"/>
    </xf>
    <xf numFmtId="176" fontId="1" fillId="0" borderId="24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176" fontId="1" fillId="0" borderId="52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 wrapText="1"/>
    </xf>
    <xf numFmtId="3" fontId="8" fillId="0" borderId="57" xfId="0" applyNumberFormat="1" applyFont="1" applyBorder="1" applyAlignment="1">
      <alignment vertical="center"/>
    </xf>
    <xf numFmtId="3" fontId="40" fillId="0" borderId="21" xfId="0" applyNumberFormat="1" applyFont="1" applyBorder="1" applyAlignment="1">
      <alignment vertical="center" wrapText="1"/>
    </xf>
    <xf numFmtId="3" fontId="40" fillId="0" borderId="4" xfId="0" applyNumberFormat="1" applyFont="1" applyBorder="1" applyAlignment="1">
      <alignment vertical="center" wrapText="1"/>
    </xf>
    <xf numFmtId="4" fontId="3" fillId="0" borderId="50" xfId="0" applyNumberFormat="1" applyFont="1" applyBorder="1" applyAlignment="1">
      <alignment vertical="center"/>
    </xf>
    <xf numFmtId="3" fontId="0" fillId="0" borderId="50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/>
    </xf>
    <xf numFmtId="3" fontId="8" fillId="0" borderId="76" xfId="0" applyNumberFormat="1" applyFont="1" applyBorder="1" applyAlignment="1">
      <alignment vertical="center" wrapText="1"/>
    </xf>
    <xf numFmtId="3" fontId="0" fillId="0" borderId="77" xfId="0" applyNumberFormat="1" applyFont="1" applyBorder="1" applyAlignment="1">
      <alignment vertical="center"/>
    </xf>
    <xf numFmtId="4" fontId="3" fillId="0" borderId="77" xfId="0" applyNumberFormat="1" applyFont="1" applyBorder="1" applyAlignment="1">
      <alignment vertical="center"/>
    </xf>
    <xf numFmtId="3" fontId="1" fillId="0" borderId="77" xfId="0" applyNumberFormat="1" applyFont="1" applyBorder="1" applyAlignment="1">
      <alignment vertical="center"/>
    </xf>
    <xf numFmtId="3" fontId="4" fillId="0" borderId="58" xfId="0" applyNumberFormat="1" applyFont="1" applyBorder="1" applyAlignment="1">
      <alignment horizontal="center" vertical="center"/>
    </xf>
    <xf numFmtId="183" fontId="1" fillId="0" borderId="56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184" fontId="8" fillId="0" borderId="0" xfId="0" applyNumberFormat="1" applyFont="1" applyBorder="1" applyAlignment="1">
      <alignment vertical="center"/>
    </xf>
    <xf numFmtId="185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86" fontId="8" fillId="0" borderId="0" xfId="0" applyNumberFormat="1" applyFont="1" applyBorder="1" applyAlignment="1">
      <alignment horizontal="left" vertical="center"/>
    </xf>
    <xf numFmtId="3" fontId="8" fillId="0" borderId="50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0" fontId="19" fillId="0" borderId="4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6" xfId="0" applyNumberFormat="1" applyFont="1" applyFill="1" applyBorder="1" applyAlignment="1">
      <alignment horizontal="left" vertical="center"/>
    </xf>
    <xf numFmtId="0" fontId="19" fillId="0" borderId="37" xfId="0" applyNumberFormat="1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left" vertical="center"/>
    </xf>
    <xf numFmtId="0" fontId="19" fillId="0" borderId="30" xfId="0" applyNumberFormat="1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shrinkToFit="1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3" fontId="0" fillId="0" borderId="8" xfId="0" applyNumberFormat="1" applyFont="1" applyBorder="1" applyAlignment="1">
      <alignment horizontal="center" vertical="center" textRotation="255"/>
    </xf>
    <xf numFmtId="3" fontId="0" fillId="0" borderId="57" xfId="0" applyNumberFormat="1" applyFont="1" applyBorder="1" applyAlignment="1">
      <alignment horizontal="center" vertical="center" textRotation="255"/>
    </xf>
    <xf numFmtId="3" fontId="0" fillId="0" borderId="66" xfId="0" applyNumberFormat="1" applyFont="1" applyBorder="1" applyAlignment="1">
      <alignment horizontal="center" vertical="center" textRotation="255"/>
    </xf>
    <xf numFmtId="3" fontId="3" fillId="0" borderId="8" xfId="0" applyNumberFormat="1" applyFont="1" applyBorder="1" applyAlignment="1">
      <alignment horizontal="center" vertical="center" textRotation="255" wrapText="1"/>
    </xf>
    <xf numFmtId="3" fontId="3" fillId="0" borderId="57" xfId="0" applyNumberFormat="1" applyFont="1" applyBorder="1" applyAlignment="1">
      <alignment horizontal="center" vertical="center" textRotation="255" wrapText="1"/>
    </xf>
    <xf numFmtId="3" fontId="3" fillId="0" borderId="58" xfId="0" applyNumberFormat="1" applyFont="1" applyBorder="1" applyAlignment="1">
      <alignment horizontal="center" vertical="center" textRotation="255" wrapText="1"/>
    </xf>
    <xf numFmtId="3" fontId="1" fillId="0" borderId="56" xfId="0" applyNumberFormat="1" applyFont="1" applyBorder="1" applyAlignment="1"/>
    <xf numFmtId="0" fontId="0" fillId="0" borderId="0" xfId="0" applyBorder="1" applyAlignment="1"/>
    <xf numFmtId="3" fontId="0" fillId="0" borderId="27" xfId="0" applyNumberFormat="1" applyFont="1" applyBorder="1" applyAlignment="1">
      <alignment horizontal="center" vertical="center" textRotation="255"/>
    </xf>
    <xf numFmtId="3" fontId="1" fillId="0" borderId="57" xfId="0" applyNumberFormat="1" applyFont="1" applyBorder="1" applyAlignment="1">
      <alignment horizontal="center" vertical="center" textRotation="255"/>
    </xf>
    <xf numFmtId="3" fontId="1" fillId="0" borderId="58" xfId="0" applyNumberFormat="1" applyFont="1" applyBorder="1" applyAlignment="1">
      <alignment horizontal="center" vertical="center" textRotation="255"/>
    </xf>
    <xf numFmtId="3" fontId="14" fillId="0" borderId="8" xfId="0" applyNumberFormat="1" applyFont="1" applyBorder="1" applyAlignment="1">
      <alignment horizontal="center" vertical="center" textRotation="255" wrapText="1"/>
    </xf>
    <xf numFmtId="3" fontId="39" fillId="0" borderId="57" xfId="0" applyNumberFormat="1" applyFont="1" applyBorder="1" applyAlignment="1">
      <alignment horizontal="center" vertical="center" textRotation="255" wrapText="1"/>
    </xf>
    <xf numFmtId="3" fontId="0" fillId="0" borderId="59" xfId="0" applyNumberFormat="1" applyFont="1" applyBorder="1" applyAlignment="1">
      <alignment horizontal="center" vertical="center"/>
    </xf>
    <xf numFmtId="3" fontId="0" fillId="0" borderId="60" xfId="0" applyNumberFormat="1" applyFont="1" applyBorder="1" applyAlignment="1">
      <alignment horizontal="center" vertical="center"/>
    </xf>
    <xf numFmtId="3" fontId="0" fillId="0" borderId="18" xfId="0" applyNumberFormat="1" applyFont="1" applyBorder="1" applyAlignment="1">
      <alignment horizontal="center" vertical="center"/>
    </xf>
    <xf numFmtId="3" fontId="0" fillId="0" borderId="78" xfId="0" applyNumberFormat="1" applyFont="1" applyBorder="1" applyAlignment="1">
      <alignment horizontal="center" vertical="center" textRotation="255"/>
    </xf>
    <xf numFmtId="3" fontId="14" fillId="0" borderId="8" xfId="0" applyNumberFormat="1" applyFont="1" applyBorder="1" applyAlignment="1">
      <alignment horizontal="center" vertical="center" textRotation="255"/>
    </xf>
    <xf numFmtId="3" fontId="39" fillId="0" borderId="27" xfId="0" applyNumberFormat="1" applyFont="1" applyBorder="1" applyAlignment="1">
      <alignment horizontal="center" vertical="center" textRotation="255"/>
    </xf>
    <xf numFmtId="3" fontId="14" fillId="0" borderId="67" xfId="0" applyNumberFormat="1" applyFont="1" applyBorder="1" applyAlignment="1">
      <alignment horizontal="center" vertical="center" textRotation="255"/>
    </xf>
    <xf numFmtId="3" fontId="39" fillId="0" borderId="68" xfId="0" applyNumberFormat="1" applyFont="1" applyBorder="1" applyAlignment="1">
      <alignment horizontal="center" vertical="center" textRotation="255"/>
    </xf>
    <xf numFmtId="3" fontId="0" fillId="0" borderId="0" xfId="0" applyNumberFormat="1" applyFont="1" applyAlignment="1"/>
    <xf numFmtId="3" fontId="0" fillId="0" borderId="0" xfId="0" applyNumberFormat="1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H１７契約金額ﾘｽﾄ、封筒宛名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47</xdr:row>
      <xdr:rowOff>19050</xdr:rowOff>
    </xdr:from>
    <xdr:to>
      <xdr:col>5</xdr:col>
      <xdr:colOff>1657350</xdr:colOff>
      <xdr:row>50</xdr:row>
      <xdr:rowOff>171450</xdr:rowOff>
    </xdr:to>
    <xdr:sp macro="" textlink="">
      <xdr:nvSpPr>
        <xdr:cNvPr id="2" name="大かっこ 1"/>
        <xdr:cNvSpPr/>
      </xdr:nvSpPr>
      <xdr:spPr>
        <a:xfrm>
          <a:off x="3114675" y="86582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50</xdr:row>
      <xdr:rowOff>19050</xdr:rowOff>
    </xdr:from>
    <xdr:to>
      <xdr:col>5</xdr:col>
      <xdr:colOff>1657350</xdr:colOff>
      <xdr:row>53</xdr:row>
      <xdr:rowOff>171450</xdr:rowOff>
    </xdr:to>
    <xdr:sp macro="" textlink="">
      <xdr:nvSpPr>
        <xdr:cNvPr id="2" name="大かっこ 1"/>
        <xdr:cNvSpPr/>
      </xdr:nvSpPr>
      <xdr:spPr>
        <a:xfrm>
          <a:off x="3114675" y="90392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53</xdr:row>
      <xdr:rowOff>19050</xdr:rowOff>
    </xdr:from>
    <xdr:to>
      <xdr:col>5</xdr:col>
      <xdr:colOff>1657350</xdr:colOff>
      <xdr:row>56</xdr:row>
      <xdr:rowOff>171450</xdr:rowOff>
    </xdr:to>
    <xdr:sp macro="" textlink="">
      <xdr:nvSpPr>
        <xdr:cNvPr id="2" name="大かっこ 1"/>
        <xdr:cNvSpPr/>
      </xdr:nvSpPr>
      <xdr:spPr>
        <a:xfrm>
          <a:off x="3114675" y="9534525"/>
          <a:ext cx="1914525" cy="7239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96"/>
  <sheetViews>
    <sheetView topLeftCell="A51" zoomScaleNormal="100" workbookViewId="0">
      <selection activeCell="H21" sqref="H21"/>
    </sheetView>
  </sheetViews>
  <sheetFormatPr defaultRowHeight="13.5" x14ac:dyDescent="0.15"/>
  <cols>
    <col min="1" max="1" width="9" style="60"/>
    <col min="2" max="2" width="3.5" style="60" customWidth="1"/>
    <col min="3" max="3" width="6.375" style="60" customWidth="1"/>
    <col min="4" max="4" width="11" style="60" customWidth="1"/>
    <col min="5" max="5" width="14.375" style="60" customWidth="1"/>
    <col min="6" max="7" width="24.625" style="60" customWidth="1"/>
    <col min="8" max="9" width="9" style="60"/>
    <col min="10" max="10" width="19.5" style="60" customWidth="1"/>
    <col min="11" max="11" width="12.625" style="60" bestFit="1" customWidth="1"/>
    <col min="12" max="12" width="5.75" style="60" customWidth="1"/>
    <col min="13" max="13" width="6.875" style="60" customWidth="1"/>
    <col min="14" max="14" width="5.875" style="60" customWidth="1"/>
    <col min="15" max="15" width="8.375" style="60" customWidth="1"/>
    <col min="16" max="16384" width="9" style="60"/>
  </cols>
  <sheetData>
    <row r="2" spans="2:12" x14ac:dyDescent="0.15">
      <c r="J2" s="60" t="s">
        <v>52</v>
      </c>
    </row>
    <row r="3" spans="2:12" ht="28.5" customHeight="1" x14ac:dyDescent="0.15">
      <c r="B3" s="250" t="s">
        <v>210</v>
      </c>
      <c r="C3" s="250"/>
      <c r="D3" s="250"/>
      <c r="E3" s="250"/>
      <c r="F3" s="250"/>
      <c r="G3" s="250"/>
    </row>
    <row r="4" spans="2:12" x14ac:dyDescent="0.15">
      <c r="J4" s="60" t="s">
        <v>53</v>
      </c>
    </row>
    <row r="5" spans="2:12" ht="14.25" x14ac:dyDescent="0.15">
      <c r="B5" s="251" t="s">
        <v>211</v>
      </c>
      <c r="C5" s="246"/>
      <c r="D5" s="246"/>
      <c r="E5" s="246"/>
      <c r="F5" s="246"/>
      <c r="G5" s="246"/>
      <c r="J5" s="61" t="s">
        <v>54</v>
      </c>
      <c r="K5" s="62" t="e">
        <f>#REF!</f>
        <v>#REF!</v>
      </c>
    </row>
    <row r="6" spans="2:12" x14ac:dyDescent="0.15">
      <c r="J6" s="61" t="s">
        <v>55</v>
      </c>
      <c r="K6" s="62" t="e">
        <f>#REF!</f>
        <v>#REF!</v>
      </c>
    </row>
    <row r="7" spans="2:12" x14ac:dyDescent="0.15">
      <c r="J7" s="61" t="s">
        <v>56</v>
      </c>
      <c r="K7" s="62" t="e">
        <f>#REF!</f>
        <v>#REF!</v>
      </c>
      <c r="L7" s="60" t="s">
        <v>161</v>
      </c>
    </row>
    <row r="8" spans="2:12" ht="15" customHeight="1" x14ac:dyDescent="0.15">
      <c r="B8" s="60" t="s">
        <v>57</v>
      </c>
      <c r="J8" s="61" t="s">
        <v>58</v>
      </c>
      <c r="K8" s="62" t="e">
        <f>#REF!</f>
        <v>#REF!</v>
      </c>
    </row>
    <row r="9" spans="2:12" ht="15" customHeight="1" x14ac:dyDescent="0.15">
      <c r="C9" s="239" t="s">
        <v>59</v>
      </c>
      <c r="D9" s="249"/>
      <c r="E9" s="63" t="s">
        <v>60</v>
      </c>
      <c r="F9" s="252" t="s">
        <v>183</v>
      </c>
      <c r="G9" s="253"/>
    </row>
    <row r="10" spans="2:12" ht="15" customHeight="1" x14ac:dyDescent="0.15">
      <c r="C10" s="245" t="s">
        <v>61</v>
      </c>
      <c r="D10" s="246"/>
      <c r="E10" s="104" t="e">
        <f>K5*21</f>
        <v>#REF!</v>
      </c>
      <c r="F10" s="254" t="e">
        <f>" ＝"&amp;TEXT(K5,"#,##0円")&amp;"×２１日"</f>
        <v>#REF!</v>
      </c>
      <c r="G10" s="255" t="e">
        <f>"{("&amp;TEXT(#REF!,"#,###円")&amp;"／8h)×6h＋("&amp;TEXT(#REF!,"#,###円")&amp;"／8h＋"&amp;TEXT(#REF!,"#,###円")&amp;"×0.5)×4h}×365日×1名"</f>
        <v>#REF!</v>
      </c>
      <c r="J10" s="60" t="s">
        <v>182</v>
      </c>
    </row>
    <row r="11" spans="2:12" ht="15" customHeight="1" x14ac:dyDescent="0.15">
      <c r="C11" s="241" t="s">
        <v>62</v>
      </c>
      <c r="D11" s="242"/>
      <c r="E11" s="105" t="e">
        <f>K6*21</f>
        <v>#REF!</v>
      </c>
      <c r="F11" s="243" t="e">
        <f>" ＝"&amp;TEXT(K6,"#,##0円")&amp;"×２１日"</f>
        <v>#REF!</v>
      </c>
      <c r="G11" s="244"/>
      <c r="J11" s="61" t="s">
        <v>112</v>
      </c>
      <c r="K11" s="62" t="e">
        <f>#REF!</f>
        <v>#REF!</v>
      </c>
    </row>
    <row r="12" spans="2:12" ht="15" customHeight="1" x14ac:dyDescent="0.15">
      <c r="C12" s="245" t="s">
        <v>113</v>
      </c>
      <c r="D12" s="246"/>
      <c r="E12" s="104" t="e">
        <f>K11*21</f>
        <v>#REF!</v>
      </c>
      <c r="F12" s="247" t="e">
        <f>" ＝"&amp;TEXT(K11,"#,##0円")&amp;"×２１日"</f>
        <v>#REF!</v>
      </c>
      <c r="G12" s="248"/>
    </row>
    <row r="13" spans="2:12" ht="15" customHeight="1" x14ac:dyDescent="0.15">
      <c r="C13" s="239" t="s">
        <v>114</v>
      </c>
      <c r="D13" s="249"/>
      <c r="E13" s="106" t="e">
        <f>K35</f>
        <v>#REF!</v>
      </c>
      <c r="F13" s="249" t="s">
        <v>184</v>
      </c>
      <c r="G13" s="240"/>
      <c r="J13" s="60" t="s">
        <v>63</v>
      </c>
    </row>
    <row r="14" spans="2:12" ht="15" customHeight="1" x14ac:dyDescent="0.15">
      <c r="C14" s="235" t="s">
        <v>185</v>
      </c>
      <c r="D14" s="235"/>
      <c r="E14" s="235"/>
      <c r="F14" s="235"/>
      <c r="G14" s="235"/>
      <c r="J14" s="61" t="s">
        <v>65</v>
      </c>
      <c r="K14" s="66" t="e">
        <f>K7/8</f>
        <v>#REF!</v>
      </c>
      <c r="L14" s="65" t="s">
        <v>220</v>
      </c>
    </row>
    <row r="15" spans="2:12" ht="15" customHeight="1" x14ac:dyDescent="0.15">
      <c r="C15" s="236"/>
      <c r="D15" s="236"/>
      <c r="E15" s="236"/>
      <c r="F15" s="236"/>
      <c r="G15" s="236"/>
      <c r="J15" s="87" t="s">
        <v>212</v>
      </c>
      <c r="K15" s="113" t="e">
        <f>K14*13</f>
        <v>#REF!</v>
      </c>
    </row>
    <row r="16" spans="2:12" ht="15" customHeight="1" x14ac:dyDescent="0.15">
      <c r="C16" s="60" t="s">
        <v>115</v>
      </c>
      <c r="J16" s="87" t="s">
        <v>213</v>
      </c>
      <c r="K16" s="113" t="e">
        <f>K14*6</f>
        <v>#REF!</v>
      </c>
    </row>
    <row r="17" spans="3:12" ht="15" customHeight="1" x14ac:dyDescent="0.15">
      <c r="C17" s="116" t="s">
        <v>229</v>
      </c>
      <c r="J17" s="61" t="s">
        <v>64</v>
      </c>
      <c r="K17" s="114" t="e">
        <f>#REF!</f>
        <v>#REF!</v>
      </c>
    </row>
    <row r="18" spans="3:12" ht="15" customHeight="1" x14ac:dyDescent="0.15">
      <c r="C18" s="128" t="e">
        <f>"{("&amp;TEXT(K7,"#,##0円")&amp;"／8h)×13h＋"&amp;TEXT(K22,"#,##0円")&amp;"×3h＋("&amp;TEXT(K7,"#,##0円")&amp;"／8h＋"&amp;TEXT(K17,"#,##0円")&amp;"×0.5)×3h＋("&amp;TEXT(K22,"#,##0円")&amp;"＋"&amp;TEXT(K25,"#,##0円")&amp;"×0.5)×4h}×365日×1名"</f>
        <v>#REF!</v>
      </c>
      <c r="J18" s="61" t="s">
        <v>116</v>
      </c>
      <c r="K18" s="115" t="e">
        <f>K17*0.5</f>
        <v>#REF!</v>
      </c>
      <c r="L18" s="65" t="s">
        <v>119</v>
      </c>
    </row>
    <row r="19" spans="3:12" ht="15" customHeight="1" x14ac:dyDescent="0.15">
      <c r="C19" s="127" t="e">
        <f>"＝{"&amp;TEXT(K14,"#,##0.#円")&amp;"×13h＋"&amp;TEXT(K22,"#,##0円")&amp;"×3h＋("&amp;TEXT(K14,"#,##0.#円")&amp;"＋"&amp;TEXT(K18,"#,##0円")&amp;")×3h＋("&amp;TEXT(K22,"#,##0円")&amp;"＋"&amp;TEXT(K26,"#,##0円")&amp;")×4h}×365日×1名"</f>
        <v>#REF!</v>
      </c>
      <c r="J19" s="61" t="s">
        <v>221</v>
      </c>
      <c r="K19" s="113" t="e">
        <f>K18+K14</f>
        <v>#REF!</v>
      </c>
      <c r="L19" s="60" t="s">
        <v>222</v>
      </c>
    </row>
    <row r="20" spans="3:12" ht="15" customHeight="1" x14ac:dyDescent="0.15">
      <c r="C20" s="118" t="e">
        <f>"＝("&amp;TEXT(K15,"#,##0.#円")&amp;"＋"&amp;TEXT(K23,"#,##0円")&amp;"＋"&amp;TEXT(K20,"#,##0.#円")&amp;"＋"&amp;TEXT(K28,"#,##0円")&amp;")×365日×1名"</f>
        <v>#REF!</v>
      </c>
      <c r="J20" s="87" t="s">
        <v>214</v>
      </c>
      <c r="K20" s="113" t="e">
        <f>K19*3</f>
        <v>#REF!</v>
      </c>
    </row>
    <row r="21" spans="3:12" ht="15" customHeight="1" x14ac:dyDescent="0.15">
      <c r="C21" s="118" t="e">
        <f>"＝"&amp;TEXT(K15+K23+K20+K28,"#,##0円")&amp;"×365日×1名"</f>
        <v>#REF!</v>
      </c>
      <c r="F21" s="68" t="e">
        <f>"＝"&amp;TEXT(K30,"#,##0円")&amp;"・・・①"</f>
        <v>#REF!</v>
      </c>
      <c r="G21" s="129" t="s">
        <v>228</v>
      </c>
      <c r="J21" s="87" t="s">
        <v>215</v>
      </c>
      <c r="K21" s="113" t="e">
        <f>K19*4</f>
        <v>#REF!</v>
      </c>
      <c r="L21" s="124"/>
    </row>
    <row r="22" spans="3:12" ht="15" customHeight="1" x14ac:dyDescent="0.15">
      <c r="J22" s="119" t="s">
        <v>217</v>
      </c>
      <c r="K22" s="121">
        <v>814</v>
      </c>
      <c r="L22" s="124" t="s">
        <v>223</v>
      </c>
    </row>
    <row r="23" spans="3:12" ht="15" customHeight="1" x14ac:dyDescent="0.15">
      <c r="C23" s="116" t="s">
        <v>230</v>
      </c>
      <c r="J23" s="119" t="s">
        <v>123</v>
      </c>
      <c r="K23" s="120">
        <f>K22*3</f>
        <v>2442</v>
      </c>
    </row>
    <row r="24" spans="3:12" ht="15" customHeight="1" x14ac:dyDescent="0.15">
      <c r="C24" s="128" t="e">
        <f>"{("&amp;TEXT(K7,"#,##0円")&amp;"／8h)×6h＋"&amp;TEXT(K22,"#,##0円")&amp;"×1h＋("&amp;TEXT(K7,"#,##0円")&amp;"／8h＋"&amp;TEXT(K17,"#,##0円")&amp;"×0.5)×4h＋("&amp;TEXT(K22,"#,##0円")&amp;"＋"&amp;TEXT(K25,"#,##0円")&amp;"×0.5)×3h}×365日×1名"</f>
        <v>#REF!</v>
      </c>
      <c r="J24" s="119" t="s">
        <v>219</v>
      </c>
      <c r="K24" s="120">
        <f>K22*1</f>
        <v>814</v>
      </c>
    </row>
    <row r="25" spans="3:12" ht="15" customHeight="1" x14ac:dyDescent="0.15">
      <c r="C25" s="117" t="e">
        <f>"＝{"&amp;TEXT(K14,"#,##0.#円")&amp;"×6h＋"&amp;TEXT(K22,"#,##0円")&amp;"×1h＋("&amp;TEXT(K14,"#,##0.#円")&amp;"＋"&amp;TEXT(K18,"#,##0円")&amp;")×4h＋"&amp;TEXT(K27,"#,##0円")&amp;")×3h}×365日×1名"</f>
        <v>#REF!</v>
      </c>
      <c r="J25" s="123" t="s">
        <v>216</v>
      </c>
      <c r="K25" s="122">
        <f>ROUNDUP(K22*8*10.5%,0)</f>
        <v>684</v>
      </c>
    </row>
    <row r="26" spans="3:12" ht="15" customHeight="1" x14ac:dyDescent="0.15">
      <c r="C26" s="118" t="e">
        <f>"＝("&amp;TEXT(K16,"#,##0円")&amp;"＋"&amp;TEXT(K24,"#,##0円")&amp;"＋"&amp;TEXT(K21,"#,##0円")&amp;"＋"&amp;TEXT(K29,"#,##0円")&amp;")×365日×1名"</f>
        <v>#REF!</v>
      </c>
      <c r="J26" s="119" t="s">
        <v>116</v>
      </c>
      <c r="K26" s="120">
        <f>K25*0.5</f>
        <v>342</v>
      </c>
      <c r="L26" s="124" t="s">
        <v>218</v>
      </c>
    </row>
    <row r="27" spans="3:12" ht="15" customHeight="1" x14ac:dyDescent="0.15">
      <c r="C27" s="118" t="e">
        <f>"＝"&amp;TEXT(K16+K24+K21+K29,"#,##0円")&amp;"×365日×1名"</f>
        <v>#REF!</v>
      </c>
      <c r="F27" s="68" t="e">
        <f>"＝"&amp;TEXT(K31,"#,##0円")&amp;"・・・②"</f>
        <v>#REF!</v>
      </c>
      <c r="G27" s="129" t="s">
        <v>228</v>
      </c>
      <c r="J27" s="123" t="s">
        <v>224</v>
      </c>
      <c r="K27" s="125">
        <f>K22+K26</f>
        <v>1156</v>
      </c>
      <c r="L27" s="60" t="s">
        <v>225</v>
      </c>
    </row>
    <row r="28" spans="3:12" ht="15" customHeight="1" x14ac:dyDescent="0.15">
      <c r="J28" s="119" t="s">
        <v>124</v>
      </c>
      <c r="K28" s="120">
        <f>K27*4</f>
        <v>4624</v>
      </c>
    </row>
    <row r="29" spans="3:12" ht="15" customHeight="1" x14ac:dyDescent="0.15">
      <c r="C29" s="116" t="s">
        <v>130</v>
      </c>
      <c r="J29" s="119" t="s">
        <v>226</v>
      </c>
      <c r="K29" s="120">
        <f>K27*3</f>
        <v>3468</v>
      </c>
    </row>
    <row r="30" spans="3:12" ht="15" customHeight="1" x14ac:dyDescent="0.15">
      <c r="C30" s="117" t="e">
        <f>TEXT(K7,"#,##0円")&amp;"×365日×1名＝"</f>
        <v>#REF!</v>
      </c>
      <c r="F30" s="68" t="e">
        <f>TEXT(K32,"#,##0円")&amp;"・・・③"</f>
        <v>#REF!</v>
      </c>
      <c r="J30" s="61" t="s">
        <v>227</v>
      </c>
      <c r="K30" s="115" t="e">
        <f>(K15+K23+K20+K28)*365</f>
        <v>#REF!</v>
      </c>
    </row>
    <row r="31" spans="3:12" ht="15" customHeight="1" x14ac:dyDescent="0.15">
      <c r="D31" s="67"/>
      <c r="J31" s="61" t="s">
        <v>126</v>
      </c>
      <c r="K31" s="64" t="e">
        <f>ROUNDDOWN((K16+K24+K21+K29)*365,0)</f>
        <v>#REF!</v>
      </c>
    </row>
    <row r="32" spans="3:12" ht="15" customHeight="1" x14ac:dyDescent="0.15">
      <c r="D32" s="71" t="e">
        <f>"計　（①＋②＋③）　＝"&amp;TEXT(K33,"#,##0円")&amp;"　（年間）"</f>
        <v>#REF!</v>
      </c>
      <c r="J32" s="61" t="s">
        <v>127</v>
      </c>
      <c r="K32" s="64" t="e">
        <f>ROUNDDOWN(K7*365,0)</f>
        <v>#REF!</v>
      </c>
    </row>
    <row r="33" spans="2:15" ht="15" customHeight="1" x14ac:dyDescent="0.15">
      <c r="D33" s="72" t="e">
        <f>"１か月当たり　　"&amp;TEXT(K33,"#,##0円")&amp;"÷12月＝"&amp;TEXT(K34,"#,##0.##")&amp;"円≒"&amp;TEXT(K35,"#,##0円")</f>
        <v>#REF!</v>
      </c>
      <c r="J33" s="61" t="s">
        <v>128</v>
      </c>
      <c r="K33" s="69" t="e">
        <f>SUM(K30:K32)</f>
        <v>#REF!</v>
      </c>
    </row>
    <row r="34" spans="2:15" ht="15" customHeight="1" x14ac:dyDescent="0.15">
      <c r="J34" s="61" t="s">
        <v>129</v>
      </c>
      <c r="K34" s="70" t="e">
        <f>K33/12</f>
        <v>#REF!</v>
      </c>
    </row>
    <row r="35" spans="2:15" ht="15" customHeight="1" x14ac:dyDescent="0.15">
      <c r="B35" s="60" t="s">
        <v>131</v>
      </c>
      <c r="J35" s="61" t="s">
        <v>66</v>
      </c>
      <c r="K35" s="64" t="e">
        <f>ROUNDDOWN(K34,0)</f>
        <v>#REF!</v>
      </c>
    </row>
    <row r="36" spans="2:15" ht="15" customHeight="1" x14ac:dyDescent="0.15">
      <c r="C36" s="60" t="s">
        <v>132</v>
      </c>
      <c r="K36" s="126"/>
    </row>
    <row r="37" spans="2:15" ht="15" customHeight="1" x14ac:dyDescent="0.15">
      <c r="C37" s="73" t="s">
        <v>67</v>
      </c>
      <c r="D37" s="63" t="s">
        <v>68</v>
      </c>
      <c r="E37" s="74" t="s">
        <v>69</v>
      </c>
      <c r="F37" s="239" t="s">
        <v>70</v>
      </c>
      <c r="G37" s="240"/>
    </row>
    <row r="38" spans="2:15" ht="15" customHeight="1" x14ac:dyDescent="0.15">
      <c r="C38" s="75" t="s">
        <v>71</v>
      </c>
      <c r="D38" s="76" t="s">
        <v>72</v>
      </c>
      <c r="E38" s="75" t="str">
        <f>TEXT(M38,0)&amp;"円／㎡・月"</f>
        <v>84円／㎡・月</v>
      </c>
      <c r="F38" s="76" t="s">
        <v>133</v>
      </c>
      <c r="G38" s="77"/>
      <c r="J38" s="78" t="s">
        <v>47</v>
      </c>
      <c r="K38" s="79">
        <v>105</v>
      </c>
      <c r="L38" s="60" t="s">
        <v>134</v>
      </c>
      <c r="M38" s="80">
        <f>K38*0.8</f>
        <v>84</v>
      </c>
    </row>
    <row r="39" spans="2:15" ht="15" customHeight="1" x14ac:dyDescent="0.15">
      <c r="C39" s="81"/>
      <c r="D39" s="60" t="s">
        <v>73</v>
      </c>
      <c r="E39" s="81"/>
      <c r="F39" s="60" t="str">
        <f>TEXT(K38,0)&amp;"円×0.8＝"&amp;TEXT(M38,0)&amp;"円／㎡・月 （建築施工単価）"</f>
        <v>105円×0.8＝84円／㎡・月 （建築施工単価）</v>
      </c>
      <c r="G39" s="82"/>
    </row>
    <row r="40" spans="2:15" ht="15" customHeight="1" x14ac:dyDescent="0.15">
      <c r="C40" s="83"/>
      <c r="D40" s="84" t="s">
        <v>164</v>
      </c>
      <c r="E40" s="83"/>
      <c r="F40" s="84" t="s">
        <v>135</v>
      </c>
      <c r="G40" s="85"/>
    </row>
    <row r="41" spans="2:15" ht="15" customHeight="1" x14ac:dyDescent="0.15">
      <c r="C41" s="81" t="s">
        <v>74</v>
      </c>
      <c r="D41" s="76" t="s">
        <v>75</v>
      </c>
      <c r="E41" s="75" t="str">
        <f>TEXT(O41,0)&amp;"円／㎡・月"</f>
        <v>41円／㎡・月</v>
      </c>
      <c r="F41" s="76" t="str">
        <f>TEXT(K41,0)&amp;"円×0.8＝"&amp;TEXT(M41,0)&amp;"円・・・積算詳細別紙"</f>
        <v>125円×0.8＝100円・・・積算詳細別紙</v>
      </c>
      <c r="G41" s="77"/>
      <c r="J41" s="86" t="s">
        <v>136</v>
      </c>
      <c r="K41" s="87">
        <f>別紙!M21</f>
        <v>125</v>
      </c>
      <c r="L41" s="60" t="s">
        <v>76</v>
      </c>
      <c r="M41" s="80">
        <f>K41*0.8</f>
        <v>100</v>
      </c>
      <c r="O41" s="60">
        <f>ROUNDDOWN(M41*5/12,0)</f>
        <v>41</v>
      </c>
    </row>
    <row r="42" spans="2:15" ht="15" customHeight="1" x14ac:dyDescent="0.15">
      <c r="C42" s="81"/>
      <c r="D42" s="60" t="s">
        <v>73</v>
      </c>
      <c r="E42" s="81"/>
      <c r="F42" s="60" t="s">
        <v>173</v>
      </c>
      <c r="G42" s="82"/>
      <c r="J42" s="78" t="s">
        <v>81</v>
      </c>
      <c r="K42" s="109">
        <f>ROUNDDOWN(M41*5/12,2)</f>
        <v>41.66</v>
      </c>
      <c r="N42" s="60" t="s">
        <v>137</v>
      </c>
    </row>
    <row r="43" spans="2:15" ht="15" customHeight="1" x14ac:dyDescent="0.15">
      <c r="C43" s="81"/>
      <c r="D43" s="84" t="s">
        <v>166</v>
      </c>
      <c r="E43" s="83"/>
      <c r="F43" s="84" t="str">
        <f>TEXT(M41,0)&amp;"円×5回÷12か月＝"&amp;TEXT(K42,"#.##")&amp;"・・・≒"&amp;TEXT(O41,0)&amp;"円／㎡・月"</f>
        <v>100円×5回÷12か月＝41.66・・・≒41円／㎡・月</v>
      </c>
      <c r="G43" s="85"/>
      <c r="J43" s="61" t="s">
        <v>66</v>
      </c>
      <c r="K43" s="64">
        <f>ROUNDDOWN(K42,0)</f>
        <v>41</v>
      </c>
    </row>
    <row r="44" spans="2:15" ht="15" customHeight="1" x14ac:dyDescent="0.15">
      <c r="C44" s="81"/>
      <c r="D44" s="60" t="s">
        <v>77</v>
      </c>
      <c r="E44" s="75" t="str">
        <f>TEXT(M44,0)&amp;"円／㎡・月"</f>
        <v>108円／㎡・月</v>
      </c>
      <c r="F44" s="60" t="s">
        <v>138</v>
      </c>
      <c r="G44" s="82"/>
      <c r="J44" s="78" t="s">
        <v>46</v>
      </c>
      <c r="K44" s="79">
        <v>135</v>
      </c>
      <c r="L44" s="60" t="s">
        <v>139</v>
      </c>
      <c r="M44" s="80">
        <f>K44*0.8</f>
        <v>108</v>
      </c>
    </row>
    <row r="45" spans="2:15" ht="15" customHeight="1" x14ac:dyDescent="0.15">
      <c r="C45" s="81"/>
      <c r="D45" s="60" t="s">
        <v>165</v>
      </c>
      <c r="E45" s="81"/>
      <c r="F45" s="60" t="str">
        <f>TEXT(K44,0)&amp;"円×0.8＝"&amp;TEXT(M44,0)&amp;"円／㎡・月 （建設物価）"</f>
        <v>135円×0.8＝108円／㎡・月 （建設物価）</v>
      </c>
      <c r="G45" s="82"/>
      <c r="J45" s="91"/>
      <c r="K45" s="92"/>
      <c r="M45" s="80"/>
    </row>
    <row r="46" spans="2:15" ht="15" customHeight="1" x14ac:dyDescent="0.15">
      <c r="C46" s="83"/>
      <c r="D46" s="84" t="s">
        <v>167</v>
      </c>
      <c r="E46" s="83"/>
      <c r="F46" s="84"/>
      <c r="G46" s="85"/>
    </row>
    <row r="47" spans="2:15" ht="15" customHeight="1" x14ac:dyDescent="0.15">
      <c r="C47" s="60" t="s">
        <v>140</v>
      </c>
    </row>
    <row r="48" spans="2:15" ht="15" customHeight="1" x14ac:dyDescent="0.15">
      <c r="C48" s="60" t="s">
        <v>141</v>
      </c>
      <c r="F48" s="60" t="s">
        <v>142</v>
      </c>
    </row>
    <row r="49" spans="3:13" ht="15" customHeight="1" x14ac:dyDescent="0.15">
      <c r="F49" s="60" t="s">
        <v>143</v>
      </c>
    </row>
    <row r="50" spans="3:13" ht="15" customHeight="1" x14ac:dyDescent="0.15">
      <c r="F50" s="60" t="s">
        <v>144</v>
      </c>
    </row>
    <row r="51" spans="3:13" ht="15" customHeight="1" x14ac:dyDescent="0.15">
      <c r="F51" s="60" t="s">
        <v>145</v>
      </c>
    </row>
    <row r="52" spans="3:13" ht="15" customHeight="1" x14ac:dyDescent="0.15">
      <c r="C52" s="60" t="s">
        <v>146</v>
      </c>
    </row>
    <row r="53" spans="3:13" ht="15" customHeight="1" x14ac:dyDescent="0.15"/>
    <row r="54" spans="3:13" ht="15" customHeight="1" x14ac:dyDescent="0.15">
      <c r="C54" s="60" t="s">
        <v>147</v>
      </c>
    </row>
    <row r="55" spans="3:13" ht="15" customHeight="1" x14ac:dyDescent="0.15">
      <c r="C55" s="73" t="s">
        <v>67</v>
      </c>
      <c r="D55" s="74" t="s">
        <v>68</v>
      </c>
      <c r="E55" s="74" t="s">
        <v>69</v>
      </c>
      <c r="F55" s="239" t="s">
        <v>70</v>
      </c>
      <c r="G55" s="240"/>
    </row>
    <row r="56" spans="3:13" ht="15" customHeight="1" x14ac:dyDescent="0.15">
      <c r="C56" s="75" t="s">
        <v>71</v>
      </c>
      <c r="D56" s="77" t="s">
        <v>168</v>
      </c>
      <c r="E56" s="75" t="str">
        <f>TEXT(M58,0)&amp;"円／㎡・月"</f>
        <v>56円／㎡・月</v>
      </c>
      <c r="F56" s="76" t="s">
        <v>177</v>
      </c>
      <c r="G56" s="77"/>
      <c r="J56" s="61" t="s">
        <v>148</v>
      </c>
      <c r="K56" s="79">
        <v>150</v>
      </c>
    </row>
    <row r="57" spans="3:13" ht="15" customHeight="1" x14ac:dyDescent="0.15">
      <c r="C57" s="83"/>
      <c r="D57" s="84" t="s">
        <v>164</v>
      </c>
      <c r="E57" s="83"/>
      <c r="F57" s="89" t="str">
        <f>TEXT(K56,0)&amp;"円－"&amp;TEXT(K57,0)&amp;"円＝"&amp;TEXT(K58,0)&amp;"円　　"&amp;TEXT(K58,0)&amp;"円×0.8＝"&amp;TEXT(M58,0)&amp;"円／㎡・月"</f>
        <v>150円－80円＝70円　　70円×0.8＝56円／㎡・月</v>
      </c>
      <c r="G57" s="85"/>
      <c r="J57" s="78" t="s">
        <v>48</v>
      </c>
      <c r="K57" s="79">
        <v>80</v>
      </c>
      <c r="L57" s="60" t="s">
        <v>149</v>
      </c>
      <c r="M57" s="90">
        <f>K57*0.8</f>
        <v>64</v>
      </c>
    </row>
    <row r="58" spans="3:13" ht="15" customHeight="1" x14ac:dyDescent="0.15">
      <c r="C58" s="75" t="s">
        <v>74</v>
      </c>
      <c r="D58" s="77" t="s">
        <v>168</v>
      </c>
      <c r="E58" s="75" t="str">
        <f>TEXT(M57,0)&amp;"円／㎡・月"</f>
        <v>64円／㎡・月</v>
      </c>
      <c r="F58" s="76" t="s">
        <v>78</v>
      </c>
      <c r="G58" s="77"/>
      <c r="J58" s="61" t="s">
        <v>150</v>
      </c>
      <c r="K58" s="61">
        <f>K56-K57</f>
        <v>70</v>
      </c>
      <c r="L58" s="60" t="s">
        <v>151</v>
      </c>
      <c r="M58" s="60">
        <f>K58*0.8</f>
        <v>56</v>
      </c>
    </row>
    <row r="59" spans="3:13" ht="15" customHeight="1" x14ac:dyDescent="0.15">
      <c r="C59" s="83"/>
      <c r="D59" s="84" t="s">
        <v>167</v>
      </c>
      <c r="E59" s="83"/>
      <c r="F59" s="84" t="str">
        <f>TEXT(K57,0)&amp;"円×0.8＝"&amp;TEXT(M57,0)&amp;"円／㎡・月 （建築施工単価）"</f>
        <v>80円×0.8＝64円／㎡・月 （建築施工単価）</v>
      </c>
      <c r="G59" s="85"/>
      <c r="J59" s="91"/>
      <c r="K59" s="92"/>
    </row>
    <row r="60" spans="3:13" ht="15" customHeight="1" x14ac:dyDescent="0.15"/>
    <row r="61" spans="3:13" ht="15" customHeight="1" x14ac:dyDescent="0.15">
      <c r="C61" s="60" t="s">
        <v>152</v>
      </c>
    </row>
    <row r="62" spans="3:13" ht="15" customHeight="1" x14ac:dyDescent="0.15">
      <c r="C62" s="73" t="s">
        <v>67</v>
      </c>
      <c r="D62" s="74" t="s">
        <v>68</v>
      </c>
      <c r="E62" s="74" t="s">
        <v>69</v>
      </c>
      <c r="F62" s="237" t="s">
        <v>153</v>
      </c>
      <c r="G62" s="238"/>
    </row>
    <row r="63" spans="3:13" ht="15" customHeight="1" x14ac:dyDescent="0.15">
      <c r="C63" s="75" t="s">
        <v>71</v>
      </c>
      <c r="D63" s="77" t="s">
        <v>79</v>
      </c>
      <c r="E63" s="75" t="e">
        <f>TEXT(K65,0)&amp;"円／㎡・月"</f>
        <v>#REF!</v>
      </c>
      <c r="F63" s="76" t="str">
        <f>TEXT(K63,"#,##0")&amp;"㎡／h・人×8h＝"&amp;TEXT(M63,"#,##0")&amp;"㎡／日"</f>
        <v>1,079㎡／h・人×8h＝8,632㎡／日</v>
      </c>
      <c r="G63" s="77"/>
      <c r="J63" s="86" t="s">
        <v>175</v>
      </c>
      <c r="K63" s="93">
        <v>1079</v>
      </c>
      <c r="L63" s="60" t="s">
        <v>156</v>
      </c>
      <c r="M63" s="90">
        <f>K63*8</f>
        <v>8632</v>
      </c>
    </row>
    <row r="64" spans="3:13" ht="15" customHeight="1" x14ac:dyDescent="0.15">
      <c r="C64" s="83"/>
      <c r="D64" s="84" t="s">
        <v>164</v>
      </c>
      <c r="E64" s="83"/>
      <c r="F64" s="84" t="e">
        <f>TEXT(K8,"#,##0")&amp;"円／日÷"&amp;TEXT(M63,"#,##0")&amp;"㎡×21日＝"&amp;TEXT(ROUNDDOWN(K64,2),"#.#0")&amp;"・・・≒"&amp;TEXT(K65,0)&amp;"円／㎡・月"</f>
        <v>#REF!</v>
      </c>
      <c r="G64" s="85"/>
      <c r="J64" s="61" t="s">
        <v>80</v>
      </c>
      <c r="K64" s="61" t="e">
        <f>K8/M63*21</f>
        <v>#REF!</v>
      </c>
    </row>
    <row r="65" spans="3:15" ht="15" customHeight="1" x14ac:dyDescent="0.15">
      <c r="C65" s="108"/>
      <c r="D65" s="108"/>
      <c r="E65" s="108"/>
      <c r="F65" s="108"/>
      <c r="G65" s="108"/>
      <c r="J65" s="61" t="s">
        <v>66</v>
      </c>
      <c r="K65" s="64" t="e">
        <f>ROUNDDOWN(K64,0)</f>
        <v>#REF!</v>
      </c>
    </row>
    <row r="66" spans="3:15" ht="15" customHeight="1" x14ac:dyDescent="0.15">
      <c r="C66" s="60" t="s">
        <v>154</v>
      </c>
    </row>
    <row r="67" spans="3:15" ht="15" customHeight="1" x14ac:dyDescent="0.15">
      <c r="C67" s="73" t="s">
        <v>67</v>
      </c>
      <c r="D67" s="74" t="s">
        <v>68</v>
      </c>
      <c r="E67" s="74" t="s">
        <v>69</v>
      </c>
      <c r="F67" s="237" t="s">
        <v>155</v>
      </c>
      <c r="G67" s="238"/>
    </row>
    <row r="68" spans="3:15" ht="15" customHeight="1" x14ac:dyDescent="0.15">
      <c r="C68" s="75" t="s">
        <v>74</v>
      </c>
      <c r="D68" s="107" t="s">
        <v>169</v>
      </c>
      <c r="E68" s="75" t="e">
        <f>TEXT(K70,0)&amp;"円／㎡・月"</f>
        <v>#REF!</v>
      </c>
      <c r="F68" s="76" t="str">
        <f>TEXT(K68,0)&amp;"㎡／h・人×8h＝"&amp;TEXT(M68,"#,##0")&amp;"㎡／日"</f>
        <v>258㎡／h・人×8h＝2,064㎡／日</v>
      </c>
      <c r="G68" s="77"/>
      <c r="J68" s="86" t="s">
        <v>176</v>
      </c>
      <c r="K68" s="93">
        <v>258</v>
      </c>
      <c r="L68" s="60" t="s">
        <v>156</v>
      </c>
      <c r="M68" s="90">
        <f>K68*8</f>
        <v>2064</v>
      </c>
    </row>
    <row r="69" spans="3:15" ht="15" customHeight="1" x14ac:dyDescent="0.15">
      <c r="C69" s="83"/>
      <c r="D69" s="84" t="s">
        <v>186</v>
      </c>
      <c r="E69" s="83"/>
      <c r="F69" s="84" t="e">
        <f>TEXT(K8,"#,##0")&amp;"円／日÷"&amp;TEXT(M68,"#,##0")&amp;"㎡＝"&amp;TEXT(ROUNDDOWN(K69,2),"#.##")&amp;"・・・≒"&amp;TEXT(K70,0)&amp;"円／㎡・月"</f>
        <v>#REF!</v>
      </c>
      <c r="G69" s="85"/>
      <c r="J69" s="78" t="s">
        <v>81</v>
      </c>
      <c r="K69" s="94" t="e">
        <f>K8/M68</f>
        <v>#REF!</v>
      </c>
      <c r="M69" s="80"/>
    </row>
    <row r="70" spans="3:15" ht="15" customHeight="1" x14ac:dyDescent="0.15">
      <c r="J70" s="61" t="s">
        <v>66</v>
      </c>
      <c r="K70" s="64" t="e">
        <f>ROUNDDOWN(K69,0)</f>
        <v>#REF!</v>
      </c>
      <c r="M70" s="80"/>
      <c r="O70" s="95"/>
    </row>
    <row r="71" spans="3:15" ht="15" customHeight="1" x14ac:dyDescent="0.15">
      <c r="C71" s="60" t="s">
        <v>171</v>
      </c>
    </row>
    <row r="72" spans="3:15" ht="15" customHeight="1" x14ac:dyDescent="0.15">
      <c r="C72" s="73" t="s">
        <v>67</v>
      </c>
      <c r="D72" s="74" t="s">
        <v>68</v>
      </c>
      <c r="E72" s="74" t="s">
        <v>69</v>
      </c>
      <c r="F72" s="239" t="s">
        <v>70</v>
      </c>
      <c r="G72" s="240"/>
    </row>
    <row r="73" spans="3:15" ht="15" customHeight="1" x14ac:dyDescent="0.15">
      <c r="C73" s="75" t="s">
        <v>50</v>
      </c>
      <c r="D73" s="77" t="s">
        <v>82</v>
      </c>
      <c r="E73" s="75" t="str">
        <f>TEXT(K74,0)&amp;"円／㎡・月"</f>
        <v>6円／㎡・月</v>
      </c>
      <c r="F73" s="76" t="str">
        <f>TEXT(K73,0)&amp;"円×1回＝"&amp;TEXT(K73,0)&amp;"円（建築施工単価）"</f>
        <v>100円×1回＝100円（建築施工単価）</v>
      </c>
      <c r="G73" s="77"/>
      <c r="J73" s="78" t="s">
        <v>45</v>
      </c>
      <c r="K73" s="79">
        <v>100</v>
      </c>
      <c r="L73" s="60" t="s">
        <v>157</v>
      </c>
      <c r="M73" s="80">
        <f>K73/12</f>
        <v>8.3333333333333339</v>
      </c>
      <c r="O73" s="95">
        <f>ROUND(M73,2)*0.8</f>
        <v>6.6640000000000006</v>
      </c>
    </row>
    <row r="74" spans="3:15" ht="15" customHeight="1" x14ac:dyDescent="0.15">
      <c r="C74" s="81"/>
      <c r="D74" s="82" t="s">
        <v>83</v>
      </c>
      <c r="E74" s="81"/>
      <c r="F74" s="60" t="str">
        <f>TEXT(K73,0)&amp;"円÷12ヶ月＝"&amp;TEXT(M73,"#.##0")&amp;"・・・円／㎡・月"</f>
        <v>100円÷12ヶ月＝8.333・・・円／㎡・月</v>
      </c>
      <c r="G74" s="82"/>
      <c r="J74" s="61" t="s">
        <v>160</v>
      </c>
      <c r="K74" s="64">
        <f>ROUNDDOWN(O73,0)</f>
        <v>6</v>
      </c>
      <c r="N74" s="60" t="s">
        <v>149</v>
      </c>
    </row>
    <row r="75" spans="3:15" ht="15" customHeight="1" x14ac:dyDescent="0.15">
      <c r="C75" s="83"/>
      <c r="D75" s="84" t="s">
        <v>170</v>
      </c>
      <c r="E75" s="83"/>
      <c r="F75" s="84" t="str">
        <f>"≒"&amp;TEXT(M73,"#.##")&amp;"円／㎡・月×0.8＝"&amp;TEXT(O73,"#.##0")&amp;"≒"&amp;(TEXT(K74,0)&amp;"円／㎡・月")</f>
        <v>≒8.33円／㎡・月×0.8＝6.664≒6円／㎡・月</v>
      </c>
      <c r="G75" s="85"/>
    </row>
    <row r="76" spans="3:15" ht="15" customHeight="1" x14ac:dyDescent="0.15"/>
    <row r="77" spans="3:15" ht="15" customHeight="1" x14ac:dyDescent="0.15">
      <c r="C77" s="60" t="s">
        <v>174</v>
      </c>
    </row>
    <row r="78" spans="3:15" ht="15" customHeight="1" x14ac:dyDescent="0.15">
      <c r="C78" s="73" t="s">
        <v>67</v>
      </c>
      <c r="D78" s="74" t="s">
        <v>68</v>
      </c>
      <c r="E78" s="97" t="s">
        <v>69</v>
      </c>
      <c r="F78" s="239" t="s">
        <v>70</v>
      </c>
      <c r="G78" s="240"/>
    </row>
    <row r="79" spans="3:15" ht="15" customHeight="1" x14ac:dyDescent="0.15">
      <c r="C79" s="75" t="s">
        <v>50</v>
      </c>
      <c r="D79" s="77" t="s">
        <v>84</v>
      </c>
      <c r="E79" s="98" t="e">
        <f>K81</f>
        <v>#REF!</v>
      </c>
      <c r="F79" s="73" t="str">
        <f>TEXT(K79,0)&amp;"㎡／h・人×8h＝"&amp;TEXT(M79,0)&amp;"㎡／日（本庁資料）"</f>
        <v>113㎡／h・人×8h＝904㎡／日（本庁資料）</v>
      </c>
      <c r="G79" s="77"/>
      <c r="J79" s="86" t="s">
        <v>178</v>
      </c>
      <c r="K79" s="79">
        <v>113</v>
      </c>
      <c r="L79" s="60" t="s">
        <v>158</v>
      </c>
      <c r="M79" s="60">
        <f>K79*8</f>
        <v>904</v>
      </c>
    </row>
    <row r="80" spans="3:15" ht="15" customHeight="1" x14ac:dyDescent="0.15">
      <c r="C80" s="81"/>
      <c r="D80" s="82"/>
      <c r="E80" s="60" t="s">
        <v>85</v>
      </c>
      <c r="F80" s="96" t="e">
        <f>TEXT(K8,"#,##0")&amp;"円／日÷"&amp;TEXT(M79,0)&amp;"㎡／日＝"&amp;TEXT(ROUNDDOWN(K80,3),"#.##0")&amp;"・・・≒"&amp;TEXT(K81,"#.#0")&amp;"円／㎡・日"</f>
        <v>#REF!</v>
      </c>
      <c r="G80" s="82"/>
      <c r="J80" s="61" t="s">
        <v>86</v>
      </c>
      <c r="K80" s="61" t="e">
        <f>K8/M79</f>
        <v>#REF!</v>
      </c>
    </row>
    <row r="81" spans="3:11" ht="15" customHeight="1" x14ac:dyDescent="0.15">
      <c r="C81" s="81"/>
      <c r="D81" s="82"/>
      <c r="F81" s="96"/>
      <c r="G81" s="82"/>
      <c r="J81" s="61" t="s">
        <v>87</v>
      </c>
      <c r="K81" s="66" t="e">
        <f>ROUNDDOWN(K80,2)</f>
        <v>#REF!</v>
      </c>
    </row>
    <row r="82" spans="3:11" ht="15" customHeight="1" x14ac:dyDescent="0.15">
      <c r="C82" s="81"/>
      <c r="D82" s="77" t="s">
        <v>88</v>
      </c>
      <c r="E82" s="76" t="str">
        <f>TEXT(M41,0)&amp;"円／㎡"</f>
        <v>100円／㎡</v>
      </c>
      <c r="F82" s="73" t="str">
        <f>TEXT(K41,0)&amp;"円×0.8＝"&amp;TEXT(M41,0)&amp;"円／㎡　…積算詳細別紙"</f>
        <v>125円×0.8＝100円／㎡　…積算詳細別紙</v>
      </c>
      <c r="G82" s="77"/>
    </row>
    <row r="83" spans="3:11" ht="15" customHeight="1" x14ac:dyDescent="0.15">
      <c r="C83" s="81"/>
      <c r="D83" s="85" t="s">
        <v>83</v>
      </c>
      <c r="E83" s="84"/>
      <c r="F83" s="88"/>
      <c r="G83" s="85"/>
    </row>
    <row r="84" spans="3:11" ht="15" customHeight="1" x14ac:dyDescent="0.15">
      <c r="C84" s="81"/>
      <c r="D84" s="75" t="s">
        <v>172</v>
      </c>
      <c r="E84" s="60" t="e">
        <f>TEXT(K86,0)&amp;"円／㎡・月"</f>
        <v>#REF!</v>
      </c>
      <c r="F84" s="96" t="e">
        <f>TEXT(K81,"#.#0")&amp;"円＋"&amp;TEXT(M41,0)&amp;"円＝"&amp;TEXT(K84,"#.#0")&amp;"円／㎡"</f>
        <v>#REF!</v>
      </c>
      <c r="G84" s="82"/>
      <c r="J84" s="61" t="s">
        <v>89</v>
      </c>
      <c r="K84" s="99" t="e">
        <f>K81+M41</f>
        <v>#REF!</v>
      </c>
    </row>
    <row r="85" spans="3:11" ht="15" customHeight="1" x14ac:dyDescent="0.15">
      <c r="C85" s="83"/>
      <c r="D85" s="83" t="s">
        <v>170</v>
      </c>
      <c r="E85" s="84"/>
      <c r="F85" s="88" t="e">
        <f>TEXT(K84,"#.#0")&amp;"円／㎡÷12か月＝"&amp;TEXT(ROUNDDOWN(K85,2),"#.#0")&amp;"・・・≒"&amp;TEXT(K86,0)&amp;"円／㎡・月"</f>
        <v>#REF!</v>
      </c>
      <c r="G85" s="85"/>
      <c r="J85" s="61" t="s">
        <v>90</v>
      </c>
      <c r="K85" s="61" t="e">
        <f>K84/12</f>
        <v>#REF!</v>
      </c>
    </row>
    <row r="86" spans="3:11" x14ac:dyDescent="0.15">
      <c r="J86" s="61" t="s">
        <v>66</v>
      </c>
      <c r="K86" s="64" t="e">
        <f>ROUNDDOWN(K85,0)</f>
        <v>#REF!</v>
      </c>
    </row>
    <row r="88" spans="3:11" x14ac:dyDescent="0.15">
      <c r="G88" s="103" t="s">
        <v>159</v>
      </c>
      <c r="J88" s="101" t="s">
        <v>163</v>
      </c>
    </row>
    <row r="90" spans="3:11" x14ac:dyDescent="0.15">
      <c r="J90" s="101" t="s">
        <v>92</v>
      </c>
    </row>
    <row r="91" spans="3:11" x14ac:dyDescent="0.15">
      <c r="J91" s="101" t="s">
        <v>93</v>
      </c>
    </row>
    <row r="92" spans="3:11" x14ac:dyDescent="0.15">
      <c r="J92" s="101" t="s">
        <v>181</v>
      </c>
    </row>
    <row r="93" spans="3:11" x14ac:dyDescent="0.15">
      <c r="J93" s="101" t="s">
        <v>179</v>
      </c>
    </row>
    <row r="94" spans="3:11" x14ac:dyDescent="0.15">
      <c r="J94" s="101" t="s">
        <v>180</v>
      </c>
    </row>
    <row r="95" spans="3:11" x14ac:dyDescent="0.15">
      <c r="J95" s="101" t="s">
        <v>94</v>
      </c>
    </row>
    <row r="96" spans="3:11" x14ac:dyDescent="0.15">
      <c r="J96" s="102" t="s">
        <v>95</v>
      </c>
    </row>
  </sheetData>
  <mergeCells count="19">
    <mergeCell ref="B3:G3"/>
    <mergeCell ref="B5:G5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G15"/>
    <mergeCell ref="F67:G67"/>
    <mergeCell ref="F72:G72"/>
    <mergeCell ref="F78:G78"/>
    <mergeCell ref="F37:G37"/>
    <mergeCell ref="F55:G55"/>
    <mergeCell ref="F62:G62"/>
  </mergeCells>
  <phoneticPr fontId="6"/>
  <pageMargins left="0.78740157480314965" right="0.39370078740157483" top="0.74803149606299213" bottom="0.74803149606299213" header="0.31496062992125984" footer="0.31496062992125984"/>
  <pageSetup paperSize="9" fitToHeight="0" orientation="portrait" r:id="rId1"/>
  <rowBreaks count="1" manualBreakCount="1">
    <brk id="52" min="1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00"/>
  <sheetViews>
    <sheetView topLeftCell="A34" zoomScaleNormal="100" workbookViewId="0">
      <selection activeCell="H21" sqref="H21"/>
    </sheetView>
  </sheetViews>
  <sheetFormatPr defaultRowHeight="13.5" x14ac:dyDescent="0.15"/>
  <cols>
    <col min="1" max="1" width="9" style="60"/>
    <col min="2" max="2" width="3.5" style="60" customWidth="1"/>
    <col min="3" max="3" width="6.375" style="60" customWidth="1"/>
    <col min="4" max="4" width="11" style="60" customWidth="1"/>
    <col min="5" max="5" width="14.375" style="60" customWidth="1"/>
    <col min="6" max="7" width="24.625" style="60" customWidth="1"/>
    <col min="8" max="9" width="9" style="60"/>
    <col min="10" max="10" width="19.5" style="60" customWidth="1"/>
    <col min="11" max="11" width="12.625" style="60" bestFit="1" customWidth="1"/>
    <col min="12" max="12" width="5.75" style="60" customWidth="1"/>
    <col min="13" max="13" width="6.875" style="60" customWidth="1"/>
    <col min="14" max="14" width="5.875" style="60" customWidth="1"/>
    <col min="15" max="15" width="8.375" style="60" customWidth="1"/>
    <col min="16" max="16384" width="9" style="60"/>
  </cols>
  <sheetData>
    <row r="2" spans="2:12" x14ac:dyDescent="0.15">
      <c r="J2" s="60" t="s">
        <v>52</v>
      </c>
    </row>
    <row r="3" spans="2:12" ht="28.5" customHeight="1" x14ac:dyDescent="0.15">
      <c r="B3" s="250" t="s">
        <v>209</v>
      </c>
      <c r="C3" s="250"/>
      <c r="D3" s="250"/>
      <c r="E3" s="250"/>
      <c r="F3" s="250"/>
      <c r="G3" s="250"/>
    </row>
    <row r="4" spans="2:12" x14ac:dyDescent="0.15">
      <c r="J4" s="60" t="s">
        <v>53</v>
      </c>
    </row>
    <row r="5" spans="2:12" ht="14.25" x14ac:dyDescent="0.15">
      <c r="B5" s="251" t="s">
        <v>201</v>
      </c>
      <c r="C5" s="246"/>
      <c r="D5" s="246"/>
      <c r="E5" s="246"/>
      <c r="F5" s="246"/>
      <c r="G5" s="246"/>
      <c r="J5" s="61" t="s">
        <v>54</v>
      </c>
      <c r="K5" s="62" t="e">
        <f>#REF!</f>
        <v>#REF!</v>
      </c>
    </row>
    <row r="6" spans="2:12" x14ac:dyDescent="0.15">
      <c r="J6" s="61" t="s">
        <v>55</v>
      </c>
      <c r="K6" s="62" t="e">
        <f>#REF!</f>
        <v>#REF!</v>
      </c>
    </row>
    <row r="7" spans="2:12" x14ac:dyDescent="0.15">
      <c r="J7" s="61" t="s">
        <v>56</v>
      </c>
      <c r="K7" s="62" t="e">
        <f>#REF!</f>
        <v>#REF!</v>
      </c>
      <c r="L7" s="60" t="s">
        <v>161</v>
      </c>
    </row>
    <row r="8" spans="2:12" ht="15" customHeight="1" x14ac:dyDescent="0.15">
      <c r="B8" s="60" t="s">
        <v>57</v>
      </c>
      <c r="J8" s="61" t="s">
        <v>58</v>
      </c>
      <c r="K8" s="62" t="e">
        <f>#REF!</f>
        <v>#REF!</v>
      </c>
    </row>
    <row r="9" spans="2:12" ht="15" customHeight="1" x14ac:dyDescent="0.15">
      <c r="C9" s="239" t="s">
        <v>59</v>
      </c>
      <c r="D9" s="249"/>
      <c r="E9" s="63" t="s">
        <v>60</v>
      </c>
      <c r="F9" s="252" t="s">
        <v>183</v>
      </c>
      <c r="G9" s="253"/>
    </row>
    <row r="10" spans="2:12" ht="15" customHeight="1" x14ac:dyDescent="0.15">
      <c r="C10" s="245" t="s">
        <v>61</v>
      </c>
      <c r="D10" s="246"/>
      <c r="E10" s="104" t="e">
        <f>K5*21</f>
        <v>#REF!</v>
      </c>
      <c r="F10" s="254" t="e">
        <f>" ＝"&amp;TEXT(K5,"#,##0円")&amp;"×２１日"</f>
        <v>#REF!</v>
      </c>
      <c r="G10" s="255" t="e">
        <f>"{("&amp;TEXT(#REF!,"#,###円")&amp;"／8h)×6h＋("&amp;TEXT(#REF!,"#,###円")&amp;"／8h＋"&amp;TEXT(#REF!,"#,###円")&amp;"×0.5)×4h}×365日×1名"</f>
        <v>#REF!</v>
      </c>
      <c r="J10" s="60" t="s">
        <v>182</v>
      </c>
    </row>
    <row r="11" spans="2:12" ht="15" customHeight="1" x14ac:dyDescent="0.15">
      <c r="C11" s="241" t="s">
        <v>62</v>
      </c>
      <c r="D11" s="242"/>
      <c r="E11" s="105" t="e">
        <f>K6*21</f>
        <v>#REF!</v>
      </c>
      <c r="F11" s="243" t="e">
        <f>" ＝"&amp;TEXT(K6,"#,##0円")&amp;"×２１日"</f>
        <v>#REF!</v>
      </c>
      <c r="G11" s="244"/>
      <c r="J11" s="61" t="s">
        <v>112</v>
      </c>
      <c r="K11" s="62" t="e">
        <f>#REF!</f>
        <v>#REF!</v>
      </c>
    </row>
    <row r="12" spans="2:12" ht="15" customHeight="1" x14ac:dyDescent="0.15">
      <c r="C12" s="245" t="s">
        <v>113</v>
      </c>
      <c r="D12" s="246"/>
      <c r="E12" s="104" t="e">
        <f>K11*21</f>
        <v>#REF!</v>
      </c>
      <c r="F12" s="247" t="e">
        <f>" ＝"&amp;TEXT(K11,"#,##0円")&amp;"×２１日"</f>
        <v>#REF!</v>
      </c>
      <c r="G12" s="248"/>
    </row>
    <row r="13" spans="2:12" ht="15" customHeight="1" x14ac:dyDescent="0.15">
      <c r="C13" s="239" t="s">
        <v>114</v>
      </c>
      <c r="D13" s="249"/>
      <c r="E13" s="106" t="e">
        <f>K30</f>
        <v>#REF!</v>
      </c>
      <c r="F13" s="249" t="s">
        <v>184</v>
      </c>
      <c r="G13" s="240"/>
      <c r="J13" s="60" t="s">
        <v>63</v>
      </c>
    </row>
    <row r="14" spans="2:12" ht="15" customHeight="1" x14ac:dyDescent="0.15">
      <c r="C14" s="235" t="s">
        <v>185</v>
      </c>
      <c r="D14" s="235"/>
      <c r="E14" s="235"/>
      <c r="F14" s="235"/>
      <c r="G14" s="235"/>
      <c r="J14" s="61" t="s">
        <v>64</v>
      </c>
      <c r="K14" s="62" t="e">
        <f>#REF!</f>
        <v>#REF!</v>
      </c>
    </row>
    <row r="15" spans="2:12" ht="15" customHeight="1" x14ac:dyDescent="0.15">
      <c r="C15" s="236"/>
      <c r="D15" s="236"/>
      <c r="E15" s="236"/>
      <c r="F15" s="236"/>
      <c r="G15" s="236"/>
      <c r="J15" s="61" t="s">
        <v>116</v>
      </c>
      <c r="K15" s="64" t="e">
        <f>K14*0.5</f>
        <v>#REF!</v>
      </c>
      <c r="L15" s="65" t="s">
        <v>117</v>
      </c>
    </row>
    <row r="16" spans="2:12" ht="15" customHeight="1" x14ac:dyDescent="0.15">
      <c r="C16" s="60" t="s">
        <v>115</v>
      </c>
      <c r="J16" s="61" t="s">
        <v>65</v>
      </c>
      <c r="K16" s="66" t="e">
        <f>K7/8</f>
        <v>#REF!</v>
      </c>
      <c r="L16" s="65" t="s">
        <v>119</v>
      </c>
    </row>
    <row r="17" spans="3:12" ht="15" customHeight="1" x14ac:dyDescent="0.15">
      <c r="D17" s="60" t="s">
        <v>118</v>
      </c>
      <c r="J17" s="61" t="s">
        <v>120</v>
      </c>
      <c r="K17" s="64" t="e">
        <f>K16*13</f>
        <v>#REF!</v>
      </c>
    </row>
    <row r="18" spans="3:12" ht="15" customHeight="1" x14ac:dyDescent="0.15">
      <c r="D18" s="60" t="e">
        <f>"{("&amp;TEXT(K7,"#,##0円")&amp;"／8h)×13h＋("&amp;TEXT(K7,"#,##0円")&amp;"／8h＋"&amp;TEXT(K14,"#,##0円")&amp;"×0.5)×3h}×365日×1名"</f>
        <v>#REF!</v>
      </c>
      <c r="J18" s="61" t="s">
        <v>121</v>
      </c>
      <c r="K18" s="64" t="e">
        <f>K16*6</f>
        <v>#REF!</v>
      </c>
    </row>
    <row r="19" spans="3:12" ht="15" customHeight="1" x14ac:dyDescent="0.15">
      <c r="D19" s="60" t="e">
        <f>"＝{"&amp;TEXT(K16,"#,##0.#円")&amp;"×13h＋("&amp;TEXT(K16,"#,##0.#円")&amp;"＋"&amp;TEXT(K15,"#,##0円")&amp;")×3h}×365日×1名"</f>
        <v>#REF!</v>
      </c>
      <c r="J19" s="61" t="s">
        <v>122</v>
      </c>
      <c r="K19" s="64" t="e">
        <f>K15+K16</f>
        <v>#REF!</v>
      </c>
    </row>
    <row r="20" spans="3:12" ht="15" customHeight="1" x14ac:dyDescent="0.15">
      <c r="D20" s="67" t="e">
        <f>"＝("&amp;TEXT(K17,"#,##0.#円")&amp;"＋"&amp;TEXT(K20,"#,##0.#円")&amp;")×365日×1名"</f>
        <v>#REF!</v>
      </c>
      <c r="J20" s="61" t="s">
        <v>123</v>
      </c>
      <c r="K20" s="64" t="e">
        <f>K19*3</f>
        <v>#REF!</v>
      </c>
    </row>
    <row r="21" spans="3:12" ht="15" customHeight="1" x14ac:dyDescent="0.15">
      <c r="D21" s="67" t="e">
        <f>"＝"&amp;TEXT(K17+K20,"#,##0円")&amp;"×365日×1名"</f>
        <v>#REF!</v>
      </c>
      <c r="F21" s="68" t="e">
        <f>"＝"&amp;TEXT(K24,"#,##0円")&amp;"・・・①"</f>
        <v>#REF!</v>
      </c>
      <c r="J21" s="61" t="s">
        <v>124</v>
      </c>
      <c r="K21" s="64" t="e">
        <f>K19*4</f>
        <v>#REF!</v>
      </c>
    </row>
    <row r="22" spans="3:12" ht="15" customHeight="1" x14ac:dyDescent="0.15">
      <c r="J22" s="61" t="s">
        <v>188</v>
      </c>
      <c r="K22" s="79">
        <v>252</v>
      </c>
    </row>
    <row r="23" spans="3:12" ht="15" customHeight="1" x14ac:dyDescent="0.15">
      <c r="D23" s="60" t="s">
        <v>125</v>
      </c>
      <c r="J23" s="61" t="s">
        <v>187</v>
      </c>
      <c r="K23" s="111">
        <f>365-K22</f>
        <v>113</v>
      </c>
    </row>
    <row r="24" spans="3:12" ht="15" customHeight="1" x14ac:dyDescent="0.15">
      <c r="D24" s="60" t="e">
        <f>"{("&amp;TEXT(K7,"#,##0円")&amp;"／8h)×6h＋("&amp;TEXT(K7,"#,##0円")&amp;"／8h＋"&amp;TEXT(K14,"#,##0円")&amp;"×0.5)×4h}×365日×1名"</f>
        <v>#REF!</v>
      </c>
      <c r="J24" s="61" t="s">
        <v>194</v>
      </c>
      <c r="K24" s="64" t="e">
        <f>(K17+K20)*365</f>
        <v>#REF!</v>
      </c>
      <c r="L24" s="60" t="s">
        <v>189</v>
      </c>
    </row>
    <row r="25" spans="3:12" ht="15" customHeight="1" x14ac:dyDescent="0.15">
      <c r="D25" s="60" t="e">
        <f>"＝{"&amp;TEXT(K16,"#,##0.#円")&amp;"×6h＋("&amp;TEXT(K16,"#,##0.#円")&amp;"＋"&amp;TEXT(K15,"#,##0円")&amp;")×4h}×365日×1名"</f>
        <v>#REF!</v>
      </c>
      <c r="J25" s="61" t="s">
        <v>195</v>
      </c>
      <c r="K25" s="64" t="e">
        <f>(K18+K21)*365</f>
        <v>#REF!</v>
      </c>
      <c r="L25" s="60" t="s">
        <v>190</v>
      </c>
    </row>
    <row r="26" spans="3:12" ht="15" customHeight="1" x14ac:dyDescent="0.15">
      <c r="D26" s="67" t="e">
        <f>"＝("&amp;TEXT(K18,"#,##0円")&amp;"＋"&amp;TEXT(K21,"#,##0円")&amp;")×"&amp;TEXT(K22,0)&amp;"日×1名"</f>
        <v>#REF!</v>
      </c>
      <c r="J26" s="61" t="s">
        <v>192</v>
      </c>
      <c r="K26" s="64" t="e">
        <f>K7*K22*2</f>
        <v>#REF!</v>
      </c>
      <c r="L26" s="60" t="s">
        <v>191</v>
      </c>
    </row>
    <row r="27" spans="3:12" ht="15" customHeight="1" x14ac:dyDescent="0.15">
      <c r="D27" s="67" t="e">
        <f>"＝"&amp;TEXT(K18+K21,"#,##0円")&amp;"×365日×1名"</f>
        <v>#REF!</v>
      </c>
      <c r="F27" s="68" t="e">
        <f>"＝"&amp;TEXT(K25,"#,##0円")&amp;"・・・②"</f>
        <v>#REF!</v>
      </c>
      <c r="J27" s="61" t="s">
        <v>197</v>
      </c>
      <c r="K27" s="64" t="e">
        <f>K7*K23</f>
        <v>#REF!</v>
      </c>
      <c r="L27" s="60" t="s">
        <v>198</v>
      </c>
    </row>
    <row r="28" spans="3:12" ht="15" customHeight="1" x14ac:dyDescent="0.15">
      <c r="C28" s="60" t="s">
        <v>196</v>
      </c>
      <c r="J28" s="61" t="s">
        <v>199</v>
      </c>
      <c r="K28" s="69" t="e">
        <f>SUM(K24:K27)</f>
        <v>#REF!</v>
      </c>
    </row>
    <row r="29" spans="3:12" ht="15" customHeight="1" x14ac:dyDescent="0.15">
      <c r="D29" s="60" t="s">
        <v>203</v>
      </c>
      <c r="J29" s="61" t="s">
        <v>129</v>
      </c>
      <c r="K29" s="70" t="e">
        <f>K28/12</f>
        <v>#REF!</v>
      </c>
    </row>
    <row r="30" spans="3:12" ht="15" customHeight="1" x14ac:dyDescent="0.15">
      <c r="D30" s="60" t="e">
        <f>TEXT(K7,"#,##0円")&amp;"×"&amp;TEXT(K22,0)&amp;"日×2名"</f>
        <v>#REF!</v>
      </c>
      <c r="F30" s="68" t="e">
        <f>"＝"&amp;TEXT(K26,"#,##0円")&amp;"・・・③"</f>
        <v>#REF!</v>
      </c>
      <c r="J30" s="61" t="s">
        <v>66</v>
      </c>
      <c r="K30" s="64" t="e">
        <f>ROUNDDOWN(K29,0)</f>
        <v>#REF!</v>
      </c>
    </row>
    <row r="31" spans="3:12" x14ac:dyDescent="0.15">
      <c r="C31" s="60" t="s">
        <v>193</v>
      </c>
    </row>
    <row r="32" spans="3:12" x14ac:dyDescent="0.15">
      <c r="D32" s="60" t="s">
        <v>200</v>
      </c>
    </row>
    <row r="33" spans="2:15" x14ac:dyDescent="0.15">
      <c r="D33" s="60" t="e">
        <f>TEXT(K7,"#,##0円")&amp;"×"&amp;TEXT(K23,0)&amp;"日×2名"</f>
        <v>#REF!</v>
      </c>
      <c r="F33" s="68" t="e">
        <f>"＝"&amp;TEXT(K27,"#,##0円")&amp;"・・・④"</f>
        <v>#REF!</v>
      </c>
    </row>
    <row r="35" spans="2:15" ht="15" customHeight="1" x14ac:dyDescent="0.15">
      <c r="D35" s="71" t="e">
        <f>"計　（①＋②＋③＋④）　＝"&amp;TEXT(K28,"#,##0円")&amp;"　（年間）"</f>
        <v>#REF!</v>
      </c>
    </row>
    <row r="36" spans="2:15" ht="15" customHeight="1" x14ac:dyDescent="0.15">
      <c r="D36" s="72" t="e">
        <f>"１か月当たり　　"&amp;TEXT(K28,"#,##0円")&amp;"÷12月＝"&amp;TEXT(K29,"#,##0.##")&amp;"円≒"&amp;TEXT(K30,"#,##0円")</f>
        <v>#REF!</v>
      </c>
    </row>
    <row r="37" spans="2:15" ht="15" customHeight="1" x14ac:dyDescent="0.15"/>
    <row r="38" spans="2:15" ht="15" customHeight="1" x14ac:dyDescent="0.15">
      <c r="B38" s="60" t="s">
        <v>131</v>
      </c>
    </row>
    <row r="39" spans="2:15" ht="15" customHeight="1" x14ac:dyDescent="0.15">
      <c r="C39" s="60" t="s">
        <v>132</v>
      </c>
    </row>
    <row r="40" spans="2:15" ht="15" customHeight="1" x14ac:dyDescent="0.15">
      <c r="C40" s="73" t="s">
        <v>67</v>
      </c>
      <c r="D40" s="63" t="s">
        <v>68</v>
      </c>
      <c r="E40" s="74" t="s">
        <v>69</v>
      </c>
      <c r="F40" s="239" t="s">
        <v>70</v>
      </c>
      <c r="G40" s="240"/>
    </row>
    <row r="41" spans="2:15" ht="15" customHeight="1" x14ac:dyDescent="0.15">
      <c r="C41" s="75" t="s">
        <v>71</v>
      </c>
      <c r="D41" s="76" t="s">
        <v>72</v>
      </c>
      <c r="E41" s="75" t="str">
        <f>TEXT(M41,0)&amp;"円／㎡・月"</f>
        <v>84円／㎡・月</v>
      </c>
      <c r="F41" s="76" t="s">
        <v>133</v>
      </c>
      <c r="G41" s="77"/>
      <c r="J41" s="78" t="s">
        <v>47</v>
      </c>
      <c r="K41" s="79">
        <v>105</v>
      </c>
      <c r="L41" s="60" t="s">
        <v>102</v>
      </c>
      <c r="M41" s="80">
        <f>K41*0.8</f>
        <v>84</v>
      </c>
    </row>
    <row r="42" spans="2:15" ht="15" customHeight="1" x14ac:dyDescent="0.15">
      <c r="C42" s="81"/>
      <c r="D42" s="60" t="s">
        <v>73</v>
      </c>
      <c r="E42" s="81"/>
      <c r="F42" s="60" t="str">
        <f>TEXT(K41,0)&amp;"円×0.8＝"&amp;TEXT(M41,0)&amp;"円／㎡・月 （建築施工単価）"</f>
        <v>105円×0.8＝84円／㎡・月 （建築施工単価）</v>
      </c>
      <c r="G42" s="82"/>
    </row>
    <row r="43" spans="2:15" ht="15" customHeight="1" x14ac:dyDescent="0.15">
      <c r="C43" s="83"/>
      <c r="D43" s="84" t="s">
        <v>164</v>
      </c>
      <c r="E43" s="83"/>
      <c r="F43" s="84" t="s">
        <v>135</v>
      </c>
      <c r="G43" s="85"/>
    </row>
    <row r="44" spans="2:15" ht="15" customHeight="1" x14ac:dyDescent="0.15">
      <c r="C44" s="81" t="s">
        <v>74</v>
      </c>
      <c r="D44" s="76" t="s">
        <v>75</v>
      </c>
      <c r="E44" s="75" t="str">
        <f>TEXT(O44,0)&amp;"円／㎡・月"</f>
        <v>41円／㎡・月</v>
      </c>
      <c r="F44" s="76" t="str">
        <f>TEXT(K44,0)&amp;"円×0.8＝"&amp;TEXT(M44,0)&amp;"円・・・積算詳細別紙"</f>
        <v>125円×0.8＝100円・・・積算詳細別紙</v>
      </c>
      <c r="G44" s="77"/>
      <c r="J44" s="86" t="s">
        <v>136</v>
      </c>
      <c r="K44" s="87">
        <f>別紙!M21</f>
        <v>125</v>
      </c>
      <c r="L44" s="60" t="s">
        <v>76</v>
      </c>
      <c r="M44" s="80">
        <f>K44*0.8</f>
        <v>100</v>
      </c>
      <c r="N44" s="60" t="s">
        <v>109</v>
      </c>
      <c r="O44" s="60">
        <f>ROUNDDOWN(M44*5/12,0)</f>
        <v>41</v>
      </c>
    </row>
    <row r="45" spans="2:15" ht="15" customHeight="1" x14ac:dyDescent="0.15">
      <c r="C45" s="81"/>
      <c r="D45" s="60" t="s">
        <v>73</v>
      </c>
      <c r="E45" s="81"/>
      <c r="F45" s="60" t="s">
        <v>173</v>
      </c>
      <c r="G45" s="82"/>
      <c r="J45" s="78" t="s">
        <v>81</v>
      </c>
      <c r="K45" s="109">
        <f>ROUNDDOWN(M44*5/12,2)</f>
        <v>41.66</v>
      </c>
    </row>
    <row r="46" spans="2:15" ht="15" customHeight="1" x14ac:dyDescent="0.15">
      <c r="C46" s="81"/>
      <c r="D46" s="84" t="s">
        <v>166</v>
      </c>
      <c r="E46" s="83"/>
      <c r="F46" s="84" t="str">
        <f>TEXT(M44,0)&amp;"円×5回÷12か月＝"&amp;TEXT(K45,"#.##")&amp;"・・・≒"&amp;TEXT(O44,0)&amp;"円／㎡・月"</f>
        <v>100円×5回÷12か月＝41.66・・・≒41円／㎡・月</v>
      </c>
      <c r="G46" s="85"/>
      <c r="J46" s="61" t="s">
        <v>66</v>
      </c>
      <c r="K46" s="64">
        <f>ROUNDDOWN(K45,0)</f>
        <v>41</v>
      </c>
    </row>
    <row r="47" spans="2:15" ht="15" customHeight="1" x14ac:dyDescent="0.15">
      <c r="C47" s="81"/>
      <c r="D47" s="60" t="s">
        <v>77</v>
      </c>
      <c r="E47" s="75" t="str">
        <f>TEXT(M47,0)&amp;"円／㎡・月"</f>
        <v>108円／㎡・月</v>
      </c>
      <c r="F47" s="60" t="s">
        <v>138</v>
      </c>
      <c r="G47" s="82"/>
      <c r="J47" s="78" t="s">
        <v>46</v>
      </c>
      <c r="K47" s="79">
        <v>135</v>
      </c>
      <c r="L47" s="60" t="s">
        <v>102</v>
      </c>
      <c r="M47" s="80">
        <f>K47*0.8</f>
        <v>108</v>
      </c>
    </row>
    <row r="48" spans="2:15" ht="15" customHeight="1" x14ac:dyDescent="0.15">
      <c r="C48" s="81"/>
      <c r="D48" s="60" t="s">
        <v>165</v>
      </c>
      <c r="E48" s="81"/>
      <c r="F48" s="60" t="str">
        <f>TEXT(K47,0)&amp;"円×0.8＝"&amp;TEXT(M47,0)&amp;"円／㎡・月 （建設物価）"</f>
        <v>135円×0.8＝108円／㎡・月 （建設物価）</v>
      </c>
      <c r="G48" s="82"/>
      <c r="J48" s="91"/>
      <c r="K48" s="92"/>
      <c r="M48" s="80"/>
    </row>
    <row r="49" spans="3:13" ht="15" customHeight="1" x14ac:dyDescent="0.15">
      <c r="C49" s="83"/>
      <c r="D49" s="84" t="s">
        <v>167</v>
      </c>
      <c r="E49" s="83"/>
      <c r="F49" s="84"/>
      <c r="G49" s="85"/>
    </row>
    <row r="50" spans="3:13" ht="15" customHeight="1" x14ac:dyDescent="0.15">
      <c r="C50" s="60" t="s">
        <v>140</v>
      </c>
    </row>
    <row r="51" spans="3:13" ht="15" customHeight="1" x14ac:dyDescent="0.15">
      <c r="C51" s="60" t="s">
        <v>141</v>
      </c>
      <c r="F51" s="60" t="s">
        <v>142</v>
      </c>
    </row>
    <row r="52" spans="3:13" ht="15" customHeight="1" x14ac:dyDescent="0.15">
      <c r="F52" s="60" t="s">
        <v>143</v>
      </c>
    </row>
    <row r="53" spans="3:13" ht="15" customHeight="1" x14ac:dyDescent="0.15">
      <c r="F53" s="60" t="s">
        <v>144</v>
      </c>
    </row>
    <row r="54" spans="3:13" ht="15" customHeight="1" x14ac:dyDescent="0.15">
      <c r="F54" s="60" t="s">
        <v>145</v>
      </c>
    </row>
    <row r="55" spans="3:13" ht="15" customHeight="1" x14ac:dyDescent="0.15">
      <c r="C55" s="60" t="s">
        <v>146</v>
      </c>
    </row>
    <row r="56" spans="3:13" ht="15" customHeight="1" x14ac:dyDescent="0.15"/>
    <row r="57" spans="3:13" ht="15" customHeight="1" x14ac:dyDescent="0.15">
      <c r="C57" s="60" t="s">
        <v>147</v>
      </c>
    </row>
    <row r="58" spans="3:13" ht="15" customHeight="1" x14ac:dyDescent="0.15">
      <c r="C58" s="73" t="s">
        <v>67</v>
      </c>
      <c r="D58" s="74" t="s">
        <v>68</v>
      </c>
      <c r="E58" s="74" t="s">
        <v>69</v>
      </c>
      <c r="F58" s="239" t="s">
        <v>70</v>
      </c>
      <c r="G58" s="240"/>
    </row>
    <row r="59" spans="3:13" ht="15" customHeight="1" x14ac:dyDescent="0.15">
      <c r="C59" s="75" t="s">
        <v>71</v>
      </c>
      <c r="D59" s="77" t="s">
        <v>168</v>
      </c>
      <c r="E59" s="75" t="str">
        <f>TEXT(M61,0)&amp;"円／㎡・月"</f>
        <v>56円／㎡・月</v>
      </c>
      <c r="F59" s="76" t="s">
        <v>177</v>
      </c>
      <c r="G59" s="77"/>
      <c r="J59" s="61" t="s">
        <v>148</v>
      </c>
      <c r="K59" s="79">
        <v>150</v>
      </c>
    </row>
    <row r="60" spans="3:13" ht="15" customHeight="1" x14ac:dyDescent="0.15">
      <c r="C60" s="83"/>
      <c r="D60" s="84" t="s">
        <v>164</v>
      </c>
      <c r="E60" s="83"/>
      <c r="F60" s="89" t="str">
        <f>TEXT(K59,0)&amp;"円－"&amp;TEXT(K60,0)&amp;"円＝"&amp;TEXT(K61,0)&amp;"円　　"&amp;TEXT(K61,0)&amp;"円×0.8＝"&amp;TEXT(M61,0)&amp;"円／㎡・月"</f>
        <v>150円－80円＝70円　　70円×0.8＝56円／㎡・月</v>
      </c>
      <c r="G60" s="85"/>
      <c r="J60" s="78" t="s">
        <v>48</v>
      </c>
      <c r="K60" s="79">
        <v>80</v>
      </c>
      <c r="L60" s="60" t="s">
        <v>102</v>
      </c>
      <c r="M60" s="90">
        <f>K60*0.8</f>
        <v>64</v>
      </c>
    </row>
    <row r="61" spans="3:13" ht="15" customHeight="1" x14ac:dyDescent="0.15">
      <c r="C61" s="75" t="s">
        <v>74</v>
      </c>
      <c r="D61" s="77" t="s">
        <v>168</v>
      </c>
      <c r="E61" s="75" t="str">
        <f>TEXT(M60,0)&amp;"円／㎡・月"</f>
        <v>64円／㎡・月</v>
      </c>
      <c r="F61" s="76" t="s">
        <v>78</v>
      </c>
      <c r="G61" s="77"/>
      <c r="J61" s="61" t="s">
        <v>150</v>
      </c>
      <c r="K61" s="61">
        <f>K59-K60</f>
        <v>70</v>
      </c>
      <c r="L61" s="60" t="s">
        <v>102</v>
      </c>
      <c r="M61" s="60">
        <f>K61*0.8</f>
        <v>56</v>
      </c>
    </row>
    <row r="62" spans="3:13" ht="15" customHeight="1" x14ac:dyDescent="0.15">
      <c r="C62" s="83"/>
      <c r="D62" s="84" t="s">
        <v>167</v>
      </c>
      <c r="E62" s="83"/>
      <c r="F62" s="84" t="str">
        <f>TEXT(K60,0)&amp;"円×0.8＝"&amp;TEXT(M60,0)&amp;"円／㎡・月 （建築施工単価）"</f>
        <v>80円×0.8＝64円／㎡・月 （建築施工単価）</v>
      </c>
      <c r="G62" s="85"/>
      <c r="J62" s="91"/>
      <c r="K62" s="92"/>
    </row>
    <row r="63" spans="3:13" ht="15" customHeight="1" x14ac:dyDescent="0.15"/>
    <row r="64" spans="3:13" ht="15" customHeight="1" x14ac:dyDescent="0.15">
      <c r="C64" s="60" t="s">
        <v>152</v>
      </c>
    </row>
    <row r="65" spans="3:15" ht="15" customHeight="1" x14ac:dyDescent="0.15">
      <c r="C65" s="73" t="s">
        <v>67</v>
      </c>
      <c r="D65" s="74" t="s">
        <v>68</v>
      </c>
      <c r="E65" s="74" t="s">
        <v>69</v>
      </c>
      <c r="F65" s="237" t="s">
        <v>153</v>
      </c>
      <c r="G65" s="238"/>
    </row>
    <row r="66" spans="3:15" ht="15" customHeight="1" x14ac:dyDescent="0.15">
      <c r="C66" s="75" t="s">
        <v>71</v>
      </c>
      <c r="D66" s="77" t="s">
        <v>79</v>
      </c>
      <c r="E66" s="75" t="e">
        <f>TEXT(K68,0)&amp;"円／㎡・月"</f>
        <v>#REF!</v>
      </c>
      <c r="F66" s="76" t="str">
        <f>TEXT(K66,"#,##0")&amp;"㎡／h・人×8h＝"&amp;TEXT(M66,"#,##0")&amp;"㎡／日"</f>
        <v>1,079㎡／h・人×8h＝8,632㎡／日</v>
      </c>
      <c r="G66" s="77"/>
      <c r="J66" s="86" t="s">
        <v>175</v>
      </c>
      <c r="K66" s="93">
        <v>1079</v>
      </c>
      <c r="L66" s="60" t="s">
        <v>156</v>
      </c>
      <c r="M66" s="90">
        <f>K66*8</f>
        <v>8632</v>
      </c>
    </row>
    <row r="67" spans="3:15" ht="15" customHeight="1" x14ac:dyDescent="0.15">
      <c r="C67" s="83"/>
      <c r="D67" s="84" t="s">
        <v>164</v>
      </c>
      <c r="E67" s="83"/>
      <c r="F67" s="84" t="e">
        <f>TEXT(K8,"#,##0")&amp;"円／日÷"&amp;TEXT(M66,"#,##0")&amp;"㎡×21日＝"&amp;TEXT(ROUNDDOWN(K67,2),"#.#0")&amp;"・・・≒"&amp;TEXT(K68,0)&amp;"円／㎡・月"</f>
        <v>#REF!</v>
      </c>
      <c r="G67" s="85"/>
      <c r="J67" s="61" t="s">
        <v>80</v>
      </c>
      <c r="K67" s="61" t="e">
        <f>K8/M66*21</f>
        <v>#REF!</v>
      </c>
    </row>
    <row r="68" spans="3:15" ht="15" customHeight="1" x14ac:dyDescent="0.15">
      <c r="C68" s="108"/>
      <c r="D68" s="108"/>
      <c r="E68" s="108"/>
      <c r="F68" s="108"/>
      <c r="G68" s="108"/>
      <c r="J68" s="61" t="s">
        <v>66</v>
      </c>
      <c r="K68" s="64" t="e">
        <f>ROUNDDOWN(K67,0)</f>
        <v>#REF!</v>
      </c>
    </row>
    <row r="69" spans="3:15" ht="15" customHeight="1" x14ac:dyDescent="0.15">
      <c r="C69" s="60" t="s">
        <v>154</v>
      </c>
    </row>
    <row r="70" spans="3:15" ht="15" customHeight="1" x14ac:dyDescent="0.15">
      <c r="C70" s="73" t="s">
        <v>67</v>
      </c>
      <c r="D70" s="74" t="s">
        <v>68</v>
      </c>
      <c r="E70" s="74" t="s">
        <v>69</v>
      </c>
      <c r="F70" s="237" t="s">
        <v>153</v>
      </c>
      <c r="G70" s="238"/>
    </row>
    <row r="71" spans="3:15" ht="15" customHeight="1" x14ac:dyDescent="0.15">
      <c r="C71" s="75" t="s">
        <v>74</v>
      </c>
      <c r="D71" s="107" t="s">
        <v>169</v>
      </c>
      <c r="E71" s="75" t="e">
        <f>TEXT(K73,0)&amp;"円／㎡・月"</f>
        <v>#REF!</v>
      </c>
      <c r="F71" s="76" t="str">
        <f>TEXT(K71,0)&amp;"㎡／h・人×8h＝"&amp;TEXT(M71,"#,##0")&amp;"㎡／日"</f>
        <v>258㎡／h・人×8h＝2,064㎡／日</v>
      </c>
      <c r="G71" s="77"/>
      <c r="J71" s="86" t="s">
        <v>176</v>
      </c>
      <c r="K71" s="93">
        <v>258</v>
      </c>
      <c r="L71" s="60" t="s">
        <v>156</v>
      </c>
      <c r="M71" s="90">
        <f>K71*8</f>
        <v>2064</v>
      </c>
    </row>
    <row r="72" spans="3:15" ht="15" customHeight="1" x14ac:dyDescent="0.15">
      <c r="C72" s="83"/>
      <c r="D72" s="84" t="s">
        <v>167</v>
      </c>
      <c r="E72" s="83"/>
      <c r="F72" s="84" t="e">
        <f>TEXT(K8,"#,##0")&amp;"円／日÷"&amp;TEXT(M71,"#,##0")&amp;"㎡＝"&amp;TEXT(ROUNDDOWN(K72,2),"#.##")&amp;"・・・≒"&amp;TEXT(K73,0)&amp;"円／㎡・月"</f>
        <v>#REF!</v>
      </c>
      <c r="G72" s="85"/>
      <c r="J72" s="78" t="s">
        <v>81</v>
      </c>
      <c r="K72" s="94" t="e">
        <f>K8/M71</f>
        <v>#REF!</v>
      </c>
      <c r="M72" s="80"/>
    </row>
    <row r="73" spans="3:15" ht="15" customHeight="1" x14ac:dyDescent="0.15">
      <c r="J73" s="61" t="s">
        <v>66</v>
      </c>
      <c r="K73" s="64" t="e">
        <f>ROUNDDOWN(K72,0)</f>
        <v>#REF!</v>
      </c>
      <c r="M73" s="80"/>
      <c r="O73" s="95"/>
    </row>
    <row r="74" spans="3:15" ht="15" customHeight="1" x14ac:dyDescent="0.15">
      <c r="C74" s="60" t="s">
        <v>171</v>
      </c>
    </row>
    <row r="75" spans="3:15" ht="15" customHeight="1" x14ac:dyDescent="0.15">
      <c r="C75" s="73" t="s">
        <v>67</v>
      </c>
      <c r="D75" s="74" t="s">
        <v>68</v>
      </c>
      <c r="E75" s="74" t="s">
        <v>69</v>
      </c>
      <c r="F75" s="239" t="s">
        <v>70</v>
      </c>
      <c r="G75" s="240"/>
    </row>
    <row r="76" spans="3:15" ht="15" customHeight="1" x14ac:dyDescent="0.15">
      <c r="C76" s="75" t="s">
        <v>50</v>
      </c>
      <c r="D76" s="77" t="s">
        <v>82</v>
      </c>
      <c r="E76" s="75" t="str">
        <f>TEXT(K77,0)&amp;"円／㎡・月"</f>
        <v>6円／㎡・月</v>
      </c>
      <c r="F76" s="76" t="str">
        <f>TEXT(K76,0)&amp;"円×1回＝"&amp;TEXT(K76,0)&amp;"円（建築施工単価）"</f>
        <v>100円×1回＝100円（建築施工単価）</v>
      </c>
      <c r="G76" s="77"/>
      <c r="J76" s="78" t="s">
        <v>45</v>
      </c>
      <c r="K76" s="79">
        <v>100</v>
      </c>
      <c r="L76" s="60" t="s">
        <v>157</v>
      </c>
      <c r="M76" s="80">
        <f>K76/12</f>
        <v>8.3333333333333339</v>
      </c>
      <c r="N76" s="60" t="s">
        <v>102</v>
      </c>
      <c r="O76" s="95">
        <f>ROUND(M76,2)*0.8</f>
        <v>6.6640000000000006</v>
      </c>
    </row>
    <row r="77" spans="3:15" ht="15" customHeight="1" x14ac:dyDescent="0.15">
      <c r="C77" s="81"/>
      <c r="D77" s="82" t="s">
        <v>83</v>
      </c>
      <c r="E77" s="81"/>
      <c r="F77" s="60" t="str">
        <f>TEXT(K76,0)&amp;"円÷12ヶ月＝"&amp;TEXT(M76,"#.##0")&amp;"・・・円／㎡・月"</f>
        <v>100円÷12ヶ月＝8.333・・・円／㎡・月</v>
      </c>
      <c r="G77" s="82"/>
      <c r="J77" s="61" t="s">
        <v>160</v>
      </c>
      <c r="K77" s="64">
        <f>ROUNDDOWN(O76,0)</f>
        <v>6</v>
      </c>
    </row>
    <row r="78" spans="3:15" ht="15" customHeight="1" x14ac:dyDescent="0.15">
      <c r="C78" s="83"/>
      <c r="D78" s="84" t="s">
        <v>170</v>
      </c>
      <c r="E78" s="83"/>
      <c r="F78" s="84" t="str">
        <f>"≒"&amp;TEXT(M76,"#.##")&amp;"円／㎡・月×0.8＝"&amp;TEXT(O76,"#.##0")&amp;"≒"&amp;(TEXT(K77,0)&amp;"円／㎡・月")</f>
        <v>≒8.33円／㎡・月×0.8＝6.664≒6円／㎡・月</v>
      </c>
      <c r="G78" s="85"/>
    </row>
    <row r="79" spans="3:15" ht="15" customHeight="1" x14ac:dyDescent="0.15"/>
    <row r="80" spans="3:15" ht="15" customHeight="1" x14ac:dyDescent="0.15">
      <c r="C80" s="60" t="s">
        <v>174</v>
      </c>
    </row>
    <row r="81" spans="3:13" ht="15" customHeight="1" x14ac:dyDescent="0.15">
      <c r="C81" s="73" t="s">
        <v>67</v>
      </c>
      <c r="D81" s="74" t="s">
        <v>68</v>
      </c>
      <c r="E81" s="110" t="s">
        <v>69</v>
      </c>
      <c r="F81" s="239" t="s">
        <v>70</v>
      </c>
      <c r="G81" s="240"/>
    </row>
    <row r="82" spans="3:13" ht="15" customHeight="1" x14ac:dyDescent="0.15">
      <c r="C82" s="75" t="s">
        <v>50</v>
      </c>
      <c r="D82" s="77" t="s">
        <v>84</v>
      </c>
      <c r="E82" s="98" t="e">
        <f>K84</f>
        <v>#REF!</v>
      </c>
      <c r="F82" s="73" t="str">
        <f>TEXT(K82,0)&amp;"㎡／h・人×8h＝"&amp;TEXT(M82,0)&amp;"㎡／日（本庁資料）"</f>
        <v>113㎡／h・人×8h＝904㎡／日（本庁資料）</v>
      </c>
      <c r="G82" s="77"/>
      <c r="J82" s="86" t="s">
        <v>178</v>
      </c>
      <c r="K82" s="79">
        <v>113</v>
      </c>
      <c r="L82" s="60" t="s">
        <v>156</v>
      </c>
      <c r="M82" s="60">
        <f>K82*8</f>
        <v>904</v>
      </c>
    </row>
    <row r="83" spans="3:13" ht="15" customHeight="1" x14ac:dyDescent="0.15">
      <c r="C83" s="81"/>
      <c r="D83" s="82"/>
      <c r="E83" s="60" t="s">
        <v>85</v>
      </c>
      <c r="F83" s="96" t="e">
        <f>TEXT(K8,"#,##0")&amp;"円／日÷"&amp;TEXT(M82,0)&amp;"㎡／日＝"&amp;TEXT(ROUNDDOWN(K83,3),"#.##0")&amp;"・・・≒"&amp;TEXT(K84,"#.#0")&amp;"円／㎡・日"</f>
        <v>#REF!</v>
      </c>
      <c r="G83" s="82"/>
      <c r="J83" s="61" t="s">
        <v>86</v>
      </c>
      <c r="K83" s="61" t="e">
        <f>K8/M82</f>
        <v>#REF!</v>
      </c>
    </row>
    <row r="84" spans="3:13" ht="15" customHeight="1" x14ac:dyDescent="0.15">
      <c r="C84" s="81"/>
      <c r="D84" s="82"/>
      <c r="F84" s="96"/>
      <c r="G84" s="82"/>
      <c r="J84" s="61" t="s">
        <v>87</v>
      </c>
      <c r="K84" s="66" t="e">
        <f>ROUNDDOWN(K83,2)</f>
        <v>#REF!</v>
      </c>
    </row>
    <row r="85" spans="3:13" ht="15" customHeight="1" x14ac:dyDescent="0.15">
      <c r="C85" s="81"/>
      <c r="D85" s="77" t="s">
        <v>88</v>
      </c>
      <c r="E85" s="76" t="str">
        <f>TEXT(M44,0)&amp;"円／㎡"</f>
        <v>100円／㎡</v>
      </c>
      <c r="F85" s="73" t="str">
        <f>TEXT(K44,0)&amp;"円×0.8＝"&amp;TEXT(M44,0)&amp;"円／㎡　…積算詳細別紙"</f>
        <v>125円×0.8＝100円／㎡　…積算詳細別紙</v>
      </c>
      <c r="G85" s="77"/>
    </row>
    <row r="86" spans="3:13" ht="15" customHeight="1" x14ac:dyDescent="0.15">
      <c r="C86" s="81"/>
      <c r="D86" s="85" t="s">
        <v>83</v>
      </c>
      <c r="E86" s="84"/>
      <c r="F86" s="88"/>
      <c r="G86" s="85"/>
    </row>
    <row r="87" spans="3:13" ht="15" customHeight="1" x14ac:dyDescent="0.15">
      <c r="C87" s="81"/>
      <c r="D87" s="75" t="s">
        <v>172</v>
      </c>
      <c r="E87" s="60" t="e">
        <f>TEXT(K89,0)&amp;"円／㎡・月"</f>
        <v>#REF!</v>
      </c>
      <c r="F87" s="96" t="e">
        <f>TEXT(K84,"#.#0")&amp;"円＋"&amp;TEXT(M44,0)&amp;"円＝"&amp;TEXT(K87,"#.#0")&amp;"円／㎡"</f>
        <v>#REF!</v>
      </c>
      <c r="G87" s="82"/>
      <c r="J87" s="61" t="s">
        <v>89</v>
      </c>
      <c r="K87" s="99" t="e">
        <f>K84+M44</f>
        <v>#REF!</v>
      </c>
    </row>
    <row r="88" spans="3:13" ht="15" customHeight="1" x14ac:dyDescent="0.15">
      <c r="C88" s="83"/>
      <c r="D88" s="83" t="s">
        <v>170</v>
      </c>
      <c r="E88" s="84"/>
      <c r="F88" s="88" t="e">
        <f>TEXT(K87,"#.#0")&amp;"円／㎡÷12か月＝"&amp;TEXT(ROUNDDOWN(K88,2),"#.#0")&amp;"・・・≒"&amp;TEXT(K89,0)&amp;"円／㎡・月"</f>
        <v>#REF!</v>
      </c>
      <c r="G88" s="85"/>
      <c r="J88" s="61" t="s">
        <v>90</v>
      </c>
      <c r="K88" s="61" t="e">
        <f>K87/12</f>
        <v>#REF!</v>
      </c>
    </row>
    <row r="89" spans="3:13" x14ac:dyDescent="0.15">
      <c r="J89" s="61" t="s">
        <v>66</v>
      </c>
      <c r="K89" s="64" t="e">
        <f>ROUNDDOWN(K88,0)</f>
        <v>#REF!</v>
      </c>
    </row>
    <row r="91" spans="3:13" x14ac:dyDescent="0.15">
      <c r="G91" s="103" t="s">
        <v>159</v>
      </c>
      <c r="J91" s="101" t="s">
        <v>163</v>
      </c>
    </row>
    <row r="92" spans="3:13" x14ac:dyDescent="0.15">
      <c r="J92" s="101" t="s">
        <v>91</v>
      </c>
    </row>
    <row r="93" spans="3:13" x14ac:dyDescent="0.15">
      <c r="J93" s="101" t="s">
        <v>92</v>
      </c>
    </row>
    <row r="94" spans="3:13" x14ac:dyDescent="0.15">
      <c r="J94" s="101" t="s">
        <v>93</v>
      </c>
    </row>
    <row r="95" spans="3:13" x14ac:dyDescent="0.15">
      <c r="J95" s="101" t="s">
        <v>181</v>
      </c>
    </row>
    <row r="96" spans="3:13" x14ac:dyDescent="0.15">
      <c r="J96" s="101" t="s">
        <v>179</v>
      </c>
    </row>
    <row r="97" spans="10:10" x14ac:dyDescent="0.15">
      <c r="J97" s="101" t="s">
        <v>180</v>
      </c>
    </row>
    <row r="98" spans="10:10" x14ac:dyDescent="0.15">
      <c r="J98" s="101" t="s">
        <v>94</v>
      </c>
    </row>
    <row r="99" spans="10:10" x14ac:dyDescent="0.15">
      <c r="J99" s="102" t="s">
        <v>95</v>
      </c>
    </row>
    <row r="100" spans="10:10" x14ac:dyDescent="0.15">
      <c r="J100" s="101" t="s">
        <v>162</v>
      </c>
    </row>
  </sheetData>
  <mergeCells count="19">
    <mergeCell ref="F81:G81"/>
    <mergeCell ref="C14:G15"/>
    <mergeCell ref="F40:G40"/>
    <mergeCell ref="F58:G58"/>
    <mergeCell ref="F65:G65"/>
    <mergeCell ref="F70:G70"/>
    <mergeCell ref="F75:G75"/>
    <mergeCell ref="C11:D11"/>
    <mergeCell ref="F11:G11"/>
    <mergeCell ref="C12:D12"/>
    <mergeCell ref="F12:G12"/>
    <mergeCell ref="C13:D13"/>
    <mergeCell ref="F13:G13"/>
    <mergeCell ref="B3:G3"/>
    <mergeCell ref="B5:G5"/>
    <mergeCell ref="C9:D9"/>
    <mergeCell ref="F9:G9"/>
    <mergeCell ref="C10:D10"/>
    <mergeCell ref="F10:G10"/>
  </mergeCells>
  <phoneticPr fontId="6"/>
  <pageMargins left="0.7" right="0.7" top="0.75" bottom="0.75" header="0.3" footer="0.3"/>
  <pageSetup paperSize="9" scale="97" fitToHeight="0" orientation="portrait" r:id="rId1"/>
  <rowBreaks count="1" manualBreakCount="1">
    <brk id="55" min="1" max="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03"/>
  <sheetViews>
    <sheetView topLeftCell="A4" zoomScaleNormal="100" workbookViewId="0">
      <selection activeCell="H21" sqref="H21"/>
    </sheetView>
  </sheetViews>
  <sheetFormatPr defaultRowHeight="13.5" x14ac:dyDescent="0.15"/>
  <cols>
    <col min="1" max="1" width="9" style="60"/>
    <col min="2" max="2" width="3.5" style="60" customWidth="1"/>
    <col min="3" max="3" width="6.375" style="60" customWidth="1"/>
    <col min="4" max="4" width="11" style="60" customWidth="1"/>
    <col min="5" max="5" width="14.375" style="60" customWidth="1"/>
    <col min="6" max="7" width="24.625" style="60" customWidth="1"/>
    <col min="8" max="9" width="9" style="60"/>
    <col min="10" max="10" width="19.5" style="60" customWidth="1"/>
    <col min="11" max="11" width="12.625" style="60" bestFit="1" customWidth="1"/>
    <col min="12" max="12" width="5.75" style="60" customWidth="1"/>
    <col min="13" max="13" width="6.875" style="60" customWidth="1"/>
    <col min="14" max="14" width="5.875" style="60" customWidth="1"/>
    <col min="15" max="15" width="8.375" style="60" customWidth="1"/>
    <col min="16" max="16384" width="9" style="60"/>
  </cols>
  <sheetData>
    <row r="2" spans="2:12" x14ac:dyDescent="0.15">
      <c r="J2" s="60" t="s">
        <v>52</v>
      </c>
    </row>
    <row r="3" spans="2:12" ht="28.5" customHeight="1" x14ac:dyDescent="0.15">
      <c r="B3" s="250" t="s">
        <v>209</v>
      </c>
      <c r="C3" s="250"/>
      <c r="D3" s="250"/>
      <c r="E3" s="250"/>
      <c r="F3" s="250"/>
      <c r="G3" s="250"/>
    </row>
    <row r="4" spans="2:12" x14ac:dyDescent="0.15">
      <c r="J4" s="60" t="s">
        <v>53</v>
      </c>
    </row>
    <row r="5" spans="2:12" ht="14.25" x14ac:dyDescent="0.15">
      <c r="B5" s="251" t="s">
        <v>202</v>
      </c>
      <c r="C5" s="246"/>
      <c r="D5" s="246"/>
      <c r="E5" s="246"/>
      <c r="F5" s="246"/>
      <c r="G5" s="246"/>
      <c r="J5" s="61" t="s">
        <v>54</v>
      </c>
      <c r="K5" s="62" t="e">
        <f>#REF!</f>
        <v>#REF!</v>
      </c>
    </row>
    <row r="6" spans="2:12" x14ac:dyDescent="0.15">
      <c r="J6" s="61" t="s">
        <v>55</v>
      </c>
      <c r="K6" s="62" t="e">
        <f>#REF!</f>
        <v>#REF!</v>
      </c>
    </row>
    <row r="7" spans="2:12" x14ac:dyDescent="0.15">
      <c r="J7" s="61" t="s">
        <v>56</v>
      </c>
      <c r="K7" s="62" t="e">
        <f>#REF!</f>
        <v>#REF!</v>
      </c>
      <c r="L7" s="60" t="s">
        <v>161</v>
      </c>
    </row>
    <row r="8" spans="2:12" ht="15" customHeight="1" x14ac:dyDescent="0.15">
      <c r="B8" s="60" t="s">
        <v>57</v>
      </c>
      <c r="J8" s="61" t="s">
        <v>58</v>
      </c>
      <c r="K8" s="62" t="e">
        <f>#REF!</f>
        <v>#REF!</v>
      </c>
    </row>
    <row r="9" spans="2:12" ht="15" customHeight="1" x14ac:dyDescent="0.15">
      <c r="C9" s="239" t="s">
        <v>59</v>
      </c>
      <c r="D9" s="249"/>
      <c r="E9" s="63" t="s">
        <v>60</v>
      </c>
      <c r="F9" s="252" t="s">
        <v>183</v>
      </c>
      <c r="G9" s="253"/>
    </row>
    <row r="10" spans="2:12" ht="15" customHeight="1" x14ac:dyDescent="0.15">
      <c r="C10" s="245" t="s">
        <v>61</v>
      </c>
      <c r="D10" s="246"/>
      <c r="E10" s="104" t="e">
        <f>K5*21</f>
        <v>#REF!</v>
      </c>
      <c r="F10" s="254" t="e">
        <f>" ＝"&amp;TEXT(K5,"#,##0円")&amp;"×２１日"</f>
        <v>#REF!</v>
      </c>
      <c r="G10" s="255" t="e">
        <f>"{("&amp;TEXT(#REF!,"#,###円")&amp;"／8h)×6h＋("&amp;TEXT(#REF!,"#,###円")&amp;"／8h＋"&amp;TEXT(#REF!,"#,###円")&amp;"×0.5)×4h}×365日×1名"</f>
        <v>#REF!</v>
      </c>
      <c r="J10" s="60" t="s">
        <v>182</v>
      </c>
    </row>
    <row r="11" spans="2:12" ht="15" customHeight="1" x14ac:dyDescent="0.15">
      <c r="C11" s="241" t="s">
        <v>62</v>
      </c>
      <c r="D11" s="242"/>
      <c r="E11" s="105" t="e">
        <f>K6*21</f>
        <v>#REF!</v>
      </c>
      <c r="F11" s="243" t="e">
        <f>" ＝"&amp;TEXT(K6,"#,##0円")&amp;"×２１日"</f>
        <v>#REF!</v>
      </c>
      <c r="G11" s="244"/>
      <c r="J11" s="61" t="s">
        <v>112</v>
      </c>
      <c r="K11" s="62" t="e">
        <f>#REF!</f>
        <v>#REF!</v>
      </c>
    </row>
    <row r="12" spans="2:12" ht="15" customHeight="1" x14ac:dyDescent="0.15">
      <c r="C12" s="245" t="s">
        <v>113</v>
      </c>
      <c r="D12" s="246"/>
      <c r="E12" s="104" t="e">
        <f>K11*21</f>
        <v>#REF!</v>
      </c>
      <c r="F12" s="247" t="e">
        <f>" ＝"&amp;TEXT(K11,"#,##0円")&amp;"×２１日"</f>
        <v>#REF!</v>
      </c>
      <c r="G12" s="248"/>
    </row>
    <row r="13" spans="2:12" ht="15" customHeight="1" x14ac:dyDescent="0.15">
      <c r="C13" s="239" t="s">
        <v>114</v>
      </c>
      <c r="D13" s="249"/>
      <c r="E13" s="106" t="e">
        <f>K30</f>
        <v>#REF!</v>
      </c>
      <c r="F13" s="249" t="s">
        <v>184</v>
      </c>
      <c r="G13" s="240"/>
      <c r="J13" s="60" t="s">
        <v>63</v>
      </c>
    </row>
    <row r="14" spans="2:12" ht="15" customHeight="1" x14ac:dyDescent="0.15">
      <c r="C14" s="235" t="s">
        <v>185</v>
      </c>
      <c r="D14" s="235"/>
      <c r="E14" s="235"/>
      <c r="F14" s="235"/>
      <c r="G14" s="235"/>
      <c r="J14" s="61" t="s">
        <v>64</v>
      </c>
      <c r="K14" s="62" t="e">
        <f>#REF!</f>
        <v>#REF!</v>
      </c>
    </row>
    <row r="15" spans="2:12" ht="15" customHeight="1" x14ac:dyDescent="0.15">
      <c r="C15" s="236"/>
      <c r="D15" s="236"/>
      <c r="E15" s="236"/>
      <c r="F15" s="236"/>
      <c r="G15" s="236"/>
      <c r="J15" s="61" t="s">
        <v>116</v>
      </c>
      <c r="K15" s="64" t="e">
        <f>K14*0.5</f>
        <v>#REF!</v>
      </c>
      <c r="L15" s="65" t="s">
        <v>117</v>
      </c>
    </row>
    <row r="16" spans="2:12" ht="15" customHeight="1" x14ac:dyDescent="0.15">
      <c r="C16" s="60" t="s">
        <v>115</v>
      </c>
      <c r="J16" s="61" t="s">
        <v>65</v>
      </c>
      <c r="K16" s="66" t="e">
        <f>K7/8</f>
        <v>#REF!</v>
      </c>
      <c r="L16" s="65" t="s">
        <v>119</v>
      </c>
    </row>
    <row r="17" spans="3:12" ht="15" customHeight="1" x14ac:dyDescent="0.15">
      <c r="D17" s="60" t="s">
        <v>118</v>
      </c>
      <c r="J17" s="61" t="s">
        <v>120</v>
      </c>
      <c r="K17" s="64" t="e">
        <f>K16*13</f>
        <v>#REF!</v>
      </c>
    </row>
    <row r="18" spans="3:12" ht="15" customHeight="1" x14ac:dyDescent="0.15">
      <c r="D18" s="60" t="e">
        <f>"{("&amp;TEXT(K7,"#,##0円")&amp;"／8h)×13h＋("&amp;TEXT(K7,"#,##0円")&amp;"／8h＋"&amp;TEXT(K14,"#,##0円")&amp;"×0.5)×3h}×365日×1名"</f>
        <v>#REF!</v>
      </c>
      <c r="J18" s="61" t="s">
        <v>121</v>
      </c>
      <c r="K18" s="64" t="e">
        <f>K16*6</f>
        <v>#REF!</v>
      </c>
    </row>
    <row r="19" spans="3:12" ht="15" customHeight="1" x14ac:dyDescent="0.15">
      <c r="D19" s="60" t="e">
        <f>"＝{"&amp;TEXT(K16,"#,##0.#円")&amp;"×13h＋("&amp;TEXT(K16,"#,##0.#円")&amp;"＋"&amp;TEXT(K15,"#,##0円")&amp;")×3h}×365日×1名"</f>
        <v>#REF!</v>
      </c>
      <c r="J19" s="61" t="s">
        <v>122</v>
      </c>
      <c r="K19" s="64" t="e">
        <f>K15+K16</f>
        <v>#REF!</v>
      </c>
    </row>
    <row r="20" spans="3:12" ht="15" customHeight="1" x14ac:dyDescent="0.15">
      <c r="D20" s="67" t="e">
        <f>"＝("&amp;TEXT(K17,"#,##0.#円")&amp;"＋"&amp;TEXT(K20,"#,##0.#円")&amp;")×365日×1名"</f>
        <v>#REF!</v>
      </c>
      <c r="J20" s="61" t="s">
        <v>123</v>
      </c>
      <c r="K20" s="64" t="e">
        <f>K19*3</f>
        <v>#REF!</v>
      </c>
    </row>
    <row r="21" spans="3:12" ht="15" customHeight="1" x14ac:dyDescent="0.15">
      <c r="D21" s="67" t="e">
        <f>"＝"&amp;TEXT(K17+K20,"#,##0円")&amp;"×365日×1名"</f>
        <v>#REF!</v>
      </c>
      <c r="F21" s="68" t="e">
        <f>"＝"&amp;TEXT(K24,"#,##0円")&amp;"・・・①"</f>
        <v>#REF!</v>
      </c>
      <c r="J21" s="61" t="s">
        <v>124</v>
      </c>
      <c r="K21" s="64" t="e">
        <f>K19*4</f>
        <v>#REF!</v>
      </c>
    </row>
    <row r="22" spans="3:12" ht="15" customHeight="1" x14ac:dyDescent="0.15">
      <c r="J22" s="61" t="s">
        <v>188</v>
      </c>
      <c r="K22" s="79">
        <v>252</v>
      </c>
    </row>
    <row r="23" spans="3:12" ht="15" customHeight="1" x14ac:dyDescent="0.15">
      <c r="D23" s="60" t="s">
        <v>130</v>
      </c>
      <c r="J23" s="61" t="s">
        <v>187</v>
      </c>
      <c r="K23" s="111">
        <f>365-K22</f>
        <v>113</v>
      </c>
    </row>
    <row r="24" spans="3:12" ht="15" customHeight="1" x14ac:dyDescent="0.15">
      <c r="D24" s="60" t="e">
        <f>TEXT(K7,"#,##0円")&amp;"×365日×1名"</f>
        <v>#REF!</v>
      </c>
      <c r="F24" s="68" t="e">
        <f>"＝"&amp;TEXT(K25,"#,##0円")&amp;"・・・②"</f>
        <v>#REF!</v>
      </c>
      <c r="J24" s="61" t="s">
        <v>194</v>
      </c>
      <c r="K24" s="64" t="e">
        <f>(K17+K20)*365</f>
        <v>#REF!</v>
      </c>
      <c r="L24" s="60" t="s">
        <v>189</v>
      </c>
    </row>
    <row r="25" spans="3:12" ht="15" customHeight="1" x14ac:dyDescent="0.15">
      <c r="C25" s="60" t="s">
        <v>196</v>
      </c>
      <c r="J25" s="61" t="s">
        <v>204</v>
      </c>
      <c r="K25" s="64" t="e">
        <f>K7*365</f>
        <v>#REF!</v>
      </c>
      <c r="L25" s="60" t="s">
        <v>190</v>
      </c>
    </row>
    <row r="26" spans="3:12" ht="15" customHeight="1" x14ac:dyDescent="0.15">
      <c r="D26" s="60" t="s">
        <v>205</v>
      </c>
      <c r="J26" s="61" t="s">
        <v>207</v>
      </c>
      <c r="K26" s="64" t="e">
        <f>(K18+K21)*K22*2</f>
        <v>#REF!</v>
      </c>
      <c r="L26" s="60" t="s">
        <v>191</v>
      </c>
    </row>
    <row r="27" spans="3:12" ht="15" customHeight="1" x14ac:dyDescent="0.15">
      <c r="D27" s="60" t="e">
        <f>"{("&amp;TEXT(K7,"#,##0円")&amp;"／8h)×6h＋("&amp;TEXT(K7,"#,##0円")&amp;"／8h＋"&amp;TEXT(K14,"#,##0円")&amp;"×0.5)×4h}×"&amp;TEXT(K22,0)&amp;"日×1名"</f>
        <v>#REF!</v>
      </c>
      <c r="J27" s="61" t="s">
        <v>208</v>
      </c>
      <c r="K27" s="64" t="e">
        <f>(K18+K21)*K23</f>
        <v>#REF!</v>
      </c>
      <c r="L27" s="60" t="s">
        <v>198</v>
      </c>
    </row>
    <row r="28" spans="3:12" ht="15" customHeight="1" x14ac:dyDescent="0.15">
      <c r="D28" s="60" t="e">
        <f>"＝{"&amp;TEXT(K16,"#,##0.#円")&amp;"×6h＋("&amp;TEXT(K16,"#,##0.#円")&amp;"＋"&amp;TEXT(K15,"#,##0円")&amp;")×4h}×"&amp;TEXT(K22,0)&amp;"日×2名"</f>
        <v>#REF!</v>
      </c>
      <c r="J28" s="61" t="s">
        <v>199</v>
      </c>
      <c r="K28" s="69" t="e">
        <f>SUM(K24:K27)</f>
        <v>#REF!</v>
      </c>
    </row>
    <row r="29" spans="3:12" ht="15" customHeight="1" x14ac:dyDescent="0.15">
      <c r="D29" s="67" t="e">
        <f>"＝("&amp;TEXT(K18,"#,##0円")&amp;"＋"&amp;TEXT(K21,"#,##0円")&amp;")×"&amp;TEXT(K22,0)&amp;"日×2名"</f>
        <v>#REF!</v>
      </c>
      <c r="J29" s="61" t="s">
        <v>129</v>
      </c>
      <c r="K29" s="70" t="e">
        <f>K28/12</f>
        <v>#REF!</v>
      </c>
    </row>
    <row r="30" spans="3:12" ht="15" customHeight="1" x14ac:dyDescent="0.15">
      <c r="D30" s="67" t="e">
        <f>"＝"&amp;TEXT(K18+K21,"#,##0円")&amp;"×"&amp;TEXT(K22,0)&amp;"日×2名"</f>
        <v>#REF!</v>
      </c>
      <c r="F30" s="68" t="e">
        <f>"＝"&amp;TEXT(K26,"#,##0円")&amp;"・・・②"</f>
        <v>#REF!</v>
      </c>
      <c r="J30" s="61" t="s">
        <v>66</v>
      </c>
      <c r="K30" s="64" t="e">
        <f>ROUNDDOWN(K29,0)</f>
        <v>#REF!</v>
      </c>
    </row>
    <row r="31" spans="3:12" x14ac:dyDescent="0.15">
      <c r="C31" s="60" t="s">
        <v>193</v>
      </c>
    </row>
    <row r="32" spans="3:12" x14ac:dyDescent="0.15">
      <c r="D32" s="60" t="s">
        <v>206</v>
      </c>
    </row>
    <row r="33" spans="2:15" x14ac:dyDescent="0.15">
      <c r="D33" s="60" t="e">
        <f>"{("&amp;TEXT(K7,"#,##0円")&amp;"／8h)×6h＋("&amp;TEXT(K7,"#,##0円")&amp;"／8h＋"&amp;TEXT(K14,"#,##0円")&amp;"×0.5)×4h}×"&amp;TEXT(K23,0)&amp;"日×1名"</f>
        <v>#REF!</v>
      </c>
    </row>
    <row r="34" spans="2:15" x14ac:dyDescent="0.15">
      <c r="D34" s="60" t="e">
        <f>"＝{"&amp;TEXT(K25,"#,##0.#円")&amp;"×6h＋("&amp;TEXT(K25,"#,##0.#円")&amp;"＋"&amp;TEXT(K24,"#,##0円")&amp;")×4h}×"&amp;TEXT(K23,0)&amp;"日×1名"</f>
        <v>#REF!</v>
      </c>
    </row>
    <row r="35" spans="2:15" x14ac:dyDescent="0.15">
      <c r="D35" s="67" t="e">
        <f>"＝("&amp;TEXT(K18,"#,##0円")&amp;"＋"&amp;TEXT(K21,"#,##0円")&amp;")×"&amp;TEXT(K23,0)&amp;"日×1名"</f>
        <v>#REF!</v>
      </c>
    </row>
    <row r="36" spans="2:15" x14ac:dyDescent="0.15">
      <c r="D36" s="67" t="e">
        <f>"＝"&amp;TEXT(K18+K21,"#,##0円")&amp;"×"&amp;TEXT(K23,0)&amp;"日×1名"</f>
        <v>#REF!</v>
      </c>
      <c r="F36" s="68" t="e">
        <f>"＝"&amp;TEXT(K27,"#,##0円")&amp;"・・・②"</f>
        <v>#REF!</v>
      </c>
    </row>
    <row r="37" spans="2:15" x14ac:dyDescent="0.15">
      <c r="D37" s="67"/>
      <c r="F37" s="68"/>
    </row>
    <row r="38" spans="2:15" ht="15" customHeight="1" x14ac:dyDescent="0.15">
      <c r="D38" s="71" t="e">
        <f>"計　（①＋②＋③＋④）　＝"&amp;TEXT(K28,"#,##0円")&amp;"　（年間）"</f>
        <v>#REF!</v>
      </c>
    </row>
    <row r="39" spans="2:15" ht="15" customHeight="1" x14ac:dyDescent="0.15">
      <c r="D39" s="72" t="e">
        <f>"１か月当たり　　"&amp;TEXT(K28,"#,##0円")&amp;"÷12月＝"&amp;TEXT(K29,"#,##0.##")&amp;"円≒"&amp;TEXT(K30,"#,##0円")</f>
        <v>#REF!</v>
      </c>
    </row>
    <row r="40" spans="2:15" ht="15" customHeight="1" x14ac:dyDescent="0.15"/>
    <row r="41" spans="2:15" ht="15" customHeight="1" x14ac:dyDescent="0.15">
      <c r="B41" s="60" t="s">
        <v>131</v>
      </c>
    </row>
    <row r="42" spans="2:15" ht="15" customHeight="1" x14ac:dyDescent="0.15">
      <c r="C42" s="60" t="s">
        <v>132</v>
      </c>
    </row>
    <row r="43" spans="2:15" ht="15" customHeight="1" x14ac:dyDescent="0.15">
      <c r="C43" s="73" t="s">
        <v>67</v>
      </c>
      <c r="D43" s="63" t="s">
        <v>68</v>
      </c>
      <c r="E43" s="74" t="s">
        <v>69</v>
      </c>
      <c r="F43" s="239" t="s">
        <v>70</v>
      </c>
      <c r="G43" s="240"/>
    </row>
    <row r="44" spans="2:15" ht="15" customHeight="1" x14ac:dyDescent="0.15">
      <c r="C44" s="75" t="s">
        <v>71</v>
      </c>
      <c r="D44" s="76" t="s">
        <v>72</v>
      </c>
      <c r="E44" s="75" t="str">
        <f>TEXT(M44,0)&amp;"円／㎡・月"</f>
        <v>84円／㎡・月</v>
      </c>
      <c r="F44" s="76" t="s">
        <v>133</v>
      </c>
      <c r="G44" s="77"/>
      <c r="J44" s="78" t="s">
        <v>47</v>
      </c>
      <c r="K44" s="79">
        <v>105</v>
      </c>
      <c r="L44" s="60" t="s">
        <v>102</v>
      </c>
      <c r="M44" s="80">
        <f>K44*0.8</f>
        <v>84</v>
      </c>
    </row>
    <row r="45" spans="2:15" ht="15" customHeight="1" x14ac:dyDescent="0.15">
      <c r="C45" s="81"/>
      <c r="D45" s="60" t="s">
        <v>73</v>
      </c>
      <c r="E45" s="81"/>
      <c r="F45" s="60" t="str">
        <f>TEXT(K44,0)&amp;"円×0.8＝"&amp;TEXT(M44,0)&amp;"円／㎡・月 （建築施工単価）"</f>
        <v>105円×0.8＝84円／㎡・月 （建築施工単価）</v>
      </c>
      <c r="G45" s="82"/>
    </row>
    <row r="46" spans="2:15" ht="15" customHeight="1" x14ac:dyDescent="0.15">
      <c r="C46" s="83"/>
      <c r="D46" s="84" t="s">
        <v>164</v>
      </c>
      <c r="E46" s="83"/>
      <c r="F46" s="84" t="s">
        <v>135</v>
      </c>
      <c r="G46" s="85"/>
    </row>
    <row r="47" spans="2:15" ht="15" customHeight="1" x14ac:dyDescent="0.15">
      <c r="C47" s="81" t="s">
        <v>74</v>
      </c>
      <c r="D47" s="76" t="s">
        <v>75</v>
      </c>
      <c r="E47" s="75" t="str">
        <f>TEXT(O47,0)&amp;"円／㎡・月"</f>
        <v>41円／㎡・月</v>
      </c>
      <c r="F47" s="76" t="str">
        <f>TEXT(K47,0)&amp;"円×0.8＝"&amp;TEXT(M47,0)&amp;"円・・・積算詳細別紙"</f>
        <v>125円×0.8＝100円・・・積算詳細別紙</v>
      </c>
      <c r="G47" s="77"/>
      <c r="J47" s="86" t="s">
        <v>136</v>
      </c>
      <c r="K47" s="87">
        <f>別紙!M21</f>
        <v>125</v>
      </c>
      <c r="L47" s="60" t="s">
        <v>76</v>
      </c>
      <c r="M47" s="80">
        <f>K47*0.8</f>
        <v>100</v>
      </c>
      <c r="N47" s="60" t="s">
        <v>109</v>
      </c>
      <c r="O47" s="60">
        <f>ROUNDDOWN(M47*5/12,0)</f>
        <v>41</v>
      </c>
    </row>
    <row r="48" spans="2:15" ht="15" customHeight="1" x14ac:dyDescent="0.15">
      <c r="C48" s="81"/>
      <c r="D48" s="60" t="s">
        <v>73</v>
      </c>
      <c r="E48" s="81"/>
      <c r="F48" s="60" t="s">
        <v>173</v>
      </c>
      <c r="G48" s="82"/>
      <c r="J48" s="78" t="s">
        <v>81</v>
      </c>
      <c r="K48" s="109">
        <f>ROUNDDOWN(M47*5/12,2)</f>
        <v>41.66</v>
      </c>
    </row>
    <row r="49" spans="3:13" ht="15" customHeight="1" x14ac:dyDescent="0.15">
      <c r="C49" s="81"/>
      <c r="D49" s="84" t="s">
        <v>166</v>
      </c>
      <c r="E49" s="83"/>
      <c r="F49" s="84" t="str">
        <f>TEXT(M47,0)&amp;"円×5回÷12か月＝"&amp;TEXT(K48,"#.##")&amp;"・・・≒"&amp;TEXT(O47,0)&amp;"円／㎡・月"</f>
        <v>100円×5回÷12か月＝41.66・・・≒41円／㎡・月</v>
      </c>
      <c r="G49" s="85"/>
      <c r="J49" s="61" t="s">
        <v>66</v>
      </c>
      <c r="K49" s="64">
        <f>ROUNDDOWN(K48,0)</f>
        <v>41</v>
      </c>
    </row>
    <row r="50" spans="3:13" ht="15" customHeight="1" x14ac:dyDescent="0.15">
      <c r="C50" s="81"/>
      <c r="D50" s="60" t="s">
        <v>77</v>
      </c>
      <c r="E50" s="75" t="str">
        <f>TEXT(M50,0)&amp;"円／㎡・月"</f>
        <v>108円／㎡・月</v>
      </c>
      <c r="F50" s="60" t="s">
        <v>138</v>
      </c>
      <c r="G50" s="82"/>
      <c r="J50" s="78" t="s">
        <v>46</v>
      </c>
      <c r="K50" s="79">
        <v>135</v>
      </c>
      <c r="L50" s="60" t="s">
        <v>102</v>
      </c>
      <c r="M50" s="80">
        <f>K50*0.8</f>
        <v>108</v>
      </c>
    </row>
    <row r="51" spans="3:13" ht="15" customHeight="1" x14ac:dyDescent="0.15">
      <c r="C51" s="81"/>
      <c r="D51" s="60" t="s">
        <v>165</v>
      </c>
      <c r="E51" s="81"/>
      <c r="F51" s="60" t="str">
        <f>TEXT(K50,0)&amp;"円×0.8＝"&amp;TEXT(M50,0)&amp;"円／㎡・月 （建設物価）"</f>
        <v>135円×0.8＝108円／㎡・月 （建設物価）</v>
      </c>
      <c r="G51" s="82"/>
      <c r="J51" s="91"/>
      <c r="K51" s="92"/>
      <c r="M51" s="80"/>
    </row>
    <row r="52" spans="3:13" ht="15" customHeight="1" x14ac:dyDescent="0.15">
      <c r="C52" s="83"/>
      <c r="D52" s="84" t="s">
        <v>167</v>
      </c>
      <c r="E52" s="83"/>
      <c r="F52" s="84"/>
      <c r="G52" s="85"/>
    </row>
    <row r="53" spans="3:13" ht="15" customHeight="1" x14ac:dyDescent="0.15">
      <c r="C53" s="60" t="s">
        <v>140</v>
      </c>
    </row>
    <row r="54" spans="3:13" ht="15" customHeight="1" x14ac:dyDescent="0.15">
      <c r="C54" s="60" t="s">
        <v>141</v>
      </c>
      <c r="F54" s="60" t="s">
        <v>142</v>
      </c>
    </row>
    <row r="55" spans="3:13" ht="15" customHeight="1" x14ac:dyDescent="0.15">
      <c r="F55" s="60" t="s">
        <v>143</v>
      </c>
    </row>
    <row r="56" spans="3:13" ht="15" customHeight="1" x14ac:dyDescent="0.15">
      <c r="F56" s="60" t="s">
        <v>144</v>
      </c>
    </row>
    <row r="57" spans="3:13" ht="15" customHeight="1" x14ac:dyDescent="0.15">
      <c r="F57" s="60" t="s">
        <v>145</v>
      </c>
    </row>
    <row r="58" spans="3:13" ht="15" customHeight="1" x14ac:dyDescent="0.15">
      <c r="C58" s="60" t="s">
        <v>146</v>
      </c>
    </row>
    <row r="59" spans="3:13" ht="15" customHeight="1" x14ac:dyDescent="0.15"/>
    <row r="60" spans="3:13" ht="15" customHeight="1" x14ac:dyDescent="0.15">
      <c r="C60" s="60" t="s">
        <v>147</v>
      </c>
    </row>
    <row r="61" spans="3:13" ht="15" customHeight="1" x14ac:dyDescent="0.15">
      <c r="C61" s="73" t="s">
        <v>67</v>
      </c>
      <c r="D61" s="74" t="s">
        <v>68</v>
      </c>
      <c r="E61" s="74" t="s">
        <v>69</v>
      </c>
      <c r="F61" s="239" t="s">
        <v>70</v>
      </c>
      <c r="G61" s="240"/>
    </row>
    <row r="62" spans="3:13" ht="15" customHeight="1" x14ac:dyDescent="0.15">
      <c r="C62" s="75" t="s">
        <v>71</v>
      </c>
      <c r="D62" s="77" t="s">
        <v>168</v>
      </c>
      <c r="E62" s="75" t="str">
        <f>TEXT(M64,0)&amp;"円／㎡・月"</f>
        <v>56円／㎡・月</v>
      </c>
      <c r="F62" s="76" t="s">
        <v>177</v>
      </c>
      <c r="G62" s="77"/>
      <c r="J62" s="61" t="s">
        <v>148</v>
      </c>
      <c r="K62" s="79">
        <v>150</v>
      </c>
    </row>
    <row r="63" spans="3:13" ht="15" customHeight="1" x14ac:dyDescent="0.15">
      <c r="C63" s="83"/>
      <c r="D63" s="84" t="s">
        <v>164</v>
      </c>
      <c r="E63" s="83"/>
      <c r="F63" s="89" t="str">
        <f>TEXT(K62,0)&amp;"円－"&amp;TEXT(K63,0)&amp;"円＝"&amp;TEXT(K64,0)&amp;"円　　"&amp;TEXT(K64,0)&amp;"円×0.8＝"&amp;TEXT(M64,0)&amp;"円／㎡・月"</f>
        <v>150円－80円＝70円　　70円×0.8＝56円／㎡・月</v>
      </c>
      <c r="G63" s="85"/>
      <c r="J63" s="78" t="s">
        <v>48</v>
      </c>
      <c r="K63" s="79">
        <v>80</v>
      </c>
      <c r="L63" s="60" t="s">
        <v>102</v>
      </c>
      <c r="M63" s="90">
        <f>K63*0.8</f>
        <v>64</v>
      </c>
    </row>
    <row r="64" spans="3:13" ht="15" customHeight="1" x14ac:dyDescent="0.15">
      <c r="C64" s="75" t="s">
        <v>74</v>
      </c>
      <c r="D64" s="77" t="s">
        <v>168</v>
      </c>
      <c r="E64" s="75" t="str">
        <f>TEXT(M63,0)&amp;"円／㎡・月"</f>
        <v>64円／㎡・月</v>
      </c>
      <c r="F64" s="76" t="s">
        <v>78</v>
      </c>
      <c r="G64" s="77"/>
      <c r="J64" s="61" t="s">
        <v>150</v>
      </c>
      <c r="K64" s="61">
        <f>K62-K63</f>
        <v>70</v>
      </c>
      <c r="L64" s="60" t="s">
        <v>102</v>
      </c>
      <c r="M64" s="60">
        <f>K64*0.8</f>
        <v>56</v>
      </c>
    </row>
    <row r="65" spans="3:15" ht="15" customHeight="1" x14ac:dyDescent="0.15">
      <c r="C65" s="83"/>
      <c r="D65" s="84" t="s">
        <v>167</v>
      </c>
      <c r="E65" s="83"/>
      <c r="F65" s="84" t="str">
        <f>TEXT(K63,0)&amp;"円×0.8＝"&amp;TEXT(M63,0)&amp;"円／㎡・月 （建築施工単価）"</f>
        <v>80円×0.8＝64円／㎡・月 （建築施工単価）</v>
      </c>
      <c r="G65" s="85"/>
      <c r="J65" s="91"/>
      <c r="K65" s="92"/>
    </row>
    <row r="66" spans="3:15" ht="15" customHeight="1" x14ac:dyDescent="0.15"/>
    <row r="67" spans="3:15" ht="15" customHeight="1" x14ac:dyDescent="0.15">
      <c r="C67" s="60" t="s">
        <v>152</v>
      </c>
    </row>
    <row r="68" spans="3:15" ht="15" customHeight="1" x14ac:dyDescent="0.15">
      <c r="C68" s="73" t="s">
        <v>67</v>
      </c>
      <c r="D68" s="74" t="s">
        <v>68</v>
      </c>
      <c r="E68" s="74" t="s">
        <v>69</v>
      </c>
      <c r="F68" s="237" t="s">
        <v>153</v>
      </c>
      <c r="G68" s="238"/>
    </row>
    <row r="69" spans="3:15" ht="15" customHeight="1" x14ac:dyDescent="0.15">
      <c r="C69" s="75" t="s">
        <v>71</v>
      </c>
      <c r="D69" s="77" t="s">
        <v>79</v>
      </c>
      <c r="E69" s="75" t="e">
        <f>TEXT(K71,0)&amp;"円／㎡・月"</f>
        <v>#REF!</v>
      </c>
      <c r="F69" s="76" t="str">
        <f>TEXT(K69,"#,##0")&amp;"㎡／h・人×8h＝"&amp;TEXT(M69,"#,##0")&amp;"㎡／日"</f>
        <v>1,079㎡／h・人×8h＝8,632㎡／日</v>
      </c>
      <c r="G69" s="77"/>
      <c r="J69" s="86" t="s">
        <v>175</v>
      </c>
      <c r="K69" s="93">
        <v>1079</v>
      </c>
      <c r="L69" s="60" t="s">
        <v>156</v>
      </c>
      <c r="M69" s="90">
        <f>K69*8</f>
        <v>8632</v>
      </c>
    </row>
    <row r="70" spans="3:15" ht="15" customHeight="1" x14ac:dyDescent="0.15">
      <c r="C70" s="83"/>
      <c r="D70" s="84" t="s">
        <v>164</v>
      </c>
      <c r="E70" s="83"/>
      <c r="F70" s="84" t="e">
        <f>TEXT(K8,"#,##0")&amp;"円／日÷"&amp;TEXT(M69,"#,##0")&amp;"㎡×21日＝"&amp;TEXT(ROUNDDOWN(K70,2),"#.#0")&amp;"・・・≒"&amp;TEXT(K71,0)&amp;"円／㎡・月"</f>
        <v>#REF!</v>
      </c>
      <c r="G70" s="85"/>
      <c r="J70" s="61" t="s">
        <v>80</v>
      </c>
      <c r="K70" s="61" t="e">
        <f>K8/M69*21</f>
        <v>#REF!</v>
      </c>
    </row>
    <row r="71" spans="3:15" ht="15" customHeight="1" x14ac:dyDescent="0.15">
      <c r="C71" s="108"/>
      <c r="D71" s="108"/>
      <c r="E71" s="108"/>
      <c r="F71" s="108"/>
      <c r="G71" s="108"/>
      <c r="J71" s="61" t="s">
        <v>66</v>
      </c>
      <c r="K71" s="64" t="e">
        <f>ROUNDDOWN(K70,0)</f>
        <v>#REF!</v>
      </c>
    </row>
    <row r="72" spans="3:15" ht="15" customHeight="1" x14ac:dyDescent="0.15">
      <c r="C72" s="60" t="s">
        <v>154</v>
      </c>
    </row>
    <row r="73" spans="3:15" ht="15" customHeight="1" x14ac:dyDescent="0.15">
      <c r="C73" s="73" t="s">
        <v>67</v>
      </c>
      <c r="D73" s="74" t="s">
        <v>68</v>
      </c>
      <c r="E73" s="74" t="s">
        <v>69</v>
      </c>
      <c r="F73" s="237" t="s">
        <v>153</v>
      </c>
      <c r="G73" s="238"/>
    </row>
    <row r="74" spans="3:15" ht="15" customHeight="1" x14ac:dyDescent="0.15">
      <c r="C74" s="75" t="s">
        <v>74</v>
      </c>
      <c r="D74" s="107" t="s">
        <v>169</v>
      </c>
      <c r="E74" s="75" t="e">
        <f>TEXT(K76,0)&amp;"円／㎡・月"</f>
        <v>#REF!</v>
      </c>
      <c r="F74" s="76" t="str">
        <f>TEXT(K74,0)&amp;"㎡／h・人×8h＝"&amp;TEXT(M74,"#,##0")&amp;"㎡／日"</f>
        <v>258㎡／h・人×8h＝2,064㎡／日</v>
      </c>
      <c r="G74" s="77"/>
      <c r="J74" s="86" t="s">
        <v>176</v>
      </c>
      <c r="K74" s="93">
        <v>258</v>
      </c>
      <c r="L74" s="60" t="s">
        <v>156</v>
      </c>
      <c r="M74" s="90">
        <f>K74*8</f>
        <v>2064</v>
      </c>
    </row>
    <row r="75" spans="3:15" ht="15" customHeight="1" x14ac:dyDescent="0.15">
      <c r="C75" s="83"/>
      <c r="D75" s="84" t="s">
        <v>167</v>
      </c>
      <c r="E75" s="83"/>
      <c r="F75" s="84" t="e">
        <f>TEXT(K8,"#,##0")&amp;"円／日÷"&amp;TEXT(M74,"#,##0")&amp;"㎡＝"&amp;TEXT(ROUNDDOWN(K75,2),"#.##")&amp;"・・・≒"&amp;TEXT(K76,0)&amp;"円／㎡・月"</f>
        <v>#REF!</v>
      </c>
      <c r="G75" s="85"/>
      <c r="J75" s="78" t="s">
        <v>81</v>
      </c>
      <c r="K75" s="94" t="e">
        <f>K8/M74</f>
        <v>#REF!</v>
      </c>
      <c r="M75" s="80"/>
    </row>
    <row r="76" spans="3:15" ht="15" customHeight="1" x14ac:dyDescent="0.15">
      <c r="J76" s="61" t="s">
        <v>66</v>
      </c>
      <c r="K76" s="64" t="e">
        <f>ROUNDDOWN(K75,0)</f>
        <v>#REF!</v>
      </c>
      <c r="M76" s="80"/>
      <c r="O76" s="95"/>
    </row>
    <row r="77" spans="3:15" ht="15" customHeight="1" x14ac:dyDescent="0.15">
      <c r="C77" s="60" t="s">
        <v>171</v>
      </c>
    </row>
    <row r="78" spans="3:15" ht="15" customHeight="1" x14ac:dyDescent="0.15">
      <c r="C78" s="73" t="s">
        <v>67</v>
      </c>
      <c r="D78" s="74" t="s">
        <v>68</v>
      </c>
      <c r="E78" s="74" t="s">
        <v>69</v>
      </c>
      <c r="F78" s="239" t="s">
        <v>70</v>
      </c>
      <c r="G78" s="240"/>
    </row>
    <row r="79" spans="3:15" ht="15" customHeight="1" x14ac:dyDescent="0.15">
      <c r="C79" s="75" t="s">
        <v>50</v>
      </c>
      <c r="D79" s="77" t="s">
        <v>82</v>
      </c>
      <c r="E79" s="75" t="str">
        <f>TEXT(K80,0)&amp;"円／㎡・月"</f>
        <v>6円／㎡・月</v>
      </c>
      <c r="F79" s="76" t="str">
        <f>TEXT(K79,0)&amp;"円×1回＝"&amp;TEXT(K79,0)&amp;"円（建築施工単価）"</f>
        <v>100円×1回＝100円（建築施工単価）</v>
      </c>
      <c r="G79" s="77"/>
      <c r="J79" s="78" t="s">
        <v>45</v>
      </c>
      <c r="K79" s="79">
        <v>100</v>
      </c>
      <c r="L79" s="60" t="s">
        <v>157</v>
      </c>
      <c r="M79" s="80">
        <f>K79/12</f>
        <v>8.3333333333333339</v>
      </c>
      <c r="N79" s="60" t="s">
        <v>102</v>
      </c>
      <c r="O79" s="95">
        <f>ROUND(M79,2)*0.8</f>
        <v>6.6640000000000006</v>
      </c>
    </row>
    <row r="80" spans="3:15" ht="15" customHeight="1" x14ac:dyDescent="0.15">
      <c r="C80" s="81"/>
      <c r="D80" s="82" t="s">
        <v>83</v>
      </c>
      <c r="E80" s="81"/>
      <c r="F80" s="60" t="str">
        <f>TEXT(K79,0)&amp;"円÷12ヶ月＝"&amp;TEXT(M79,"#.##0")&amp;"・・・円／㎡・月"</f>
        <v>100円÷12ヶ月＝8.333・・・円／㎡・月</v>
      </c>
      <c r="G80" s="82"/>
      <c r="J80" s="61" t="s">
        <v>160</v>
      </c>
      <c r="K80" s="64">
        <f>ROUNDDOWN(O79,0)</f>
        <v>6</v>
      </c>
    </row>
    <row r="81" spans="3:13" ht="15" customHeight="1" x14ac:dyDescent="0.15">
      <c r="C81" s="83"/>
      <c r="D81" s="84" t="s">
        <v>170</v>
      </c>
      <c r="E81" s="83"/>
      <c r="F81" s="84" t="str">
        <f>"≒"&amp;TEXT(M79,"#.##")&amp;"円／㎡・月×0.8＝"&amp;TEXT(O79,"#.##0")&amp;"≒"&amp;(TEXT(K80,0)&amp;"円／㎡・月")</f>
        <v>≒8.33円／㎡・月×0.8＝6.664≒6円／㎡・月</v>
      </c>
      <c r="G81" s="85"/>
    </row>
    <row r="82" spans="3:13" ht="15" customHeight="1" x14ac:dyDescent="0.15"/>
    <row r="83" spans="3:13" ht="15" customHeight="1" x14ac:dyDescent="0.15">
      <c r="C83" s="60" t="s">
        <v>174</v>
      </c>
    </row>
    <row r="84" spans="3:13" ht="15" customHeight="1" x14ac:dyDescent="0.15">
      <c r="C84" s="73" t="s">
        <v>67</v>
      </c>
      <c r="D84" s="74" t="s">
        <v>68</v>
      </c>
      <c r="E84" s="112" t="s">
        <v>69</v>
      </c>
      <c r="F84" s="239" t="s">
        <v>70</v>
      </c>
      <c r="G84" s="240"/>
    </row>
    <row r="85" spans="3:13" ht="15" customHeight="1" x14ac:dyDescent="0.15">
      <c r="C85" s="75" t="s">
        <v>50</v>
      </c>
      <c r="D85" s="77" t="s">
        <v>84</v>
      </c>
      <c r="E85" s="98" t="e">
        <f>K87</f>
        <v>#REF!</v>
      </c>
      <c r="F85" s="73" t="str">
        <f>TEXT(K85,0)&amp;"㎡／h・人×8h＝"&amp;TEXT(M85,0)&amp;"㎡／日（本庁資料）"</f>
        <v>113㎡／h・人×8h＝904㎡／日（本庁資料）</v>
      </c>
      <c r="G85" s="77"/>
      <c r="J85" s="86" t="s">
        <v>178</v>
      </c>
      <c r="K85" s="79">
        <v>113</v>
      </c>
      <c r="L85" s="60" t="s">
        <v>156</v>
      </c>
      <c r="M85" s="60">
        <f>K85*8</f>
        <v>904</v>
      </c>
    </row>
    <row r="86" spans="3:13" ht="15" customHeight="1" x14ac:dyDescent="0.15">
      <c r="C86" s="81"/>
      <c r="D86" s="82"/>
      <c r="E86" s="60" t="s">
        <v>85</v>
      </c>
      <c r="F86" s="96" t="e">
        <f>TEXT(K8,"#,##0")&amp;"円／日÷"&amp;TEXT(M85,0)&amp;"㎡／日＝"&amp;TEXT(ROUNDDOWN(K86,3),"#.##0")&amp;"・・・≒"&amp;TEXT(K87,"#.#0")&amp;"円／㎡・日"</f>
        <v>#REF!</v>
      </c>
      <c r="G86" s="82"/>
      <c r="J86" s="61" t="s">
        <v>86</v>
      </c>
      <c r="K86" s="61" t="e">
        <f>K8/M85</f>
        <v>#REF!</v>
      </c>
    </row>
    <row r="87" spans="3:13" ht="15" customHeight="1" x14ac:dyDescent="0.15">
      <c r="C87" s="81"/>
      <c r="D87" s="82"/>
      <c r="F87" s="96"/>
      <c r="G87" s="82"/>
      <c r="J87" s="61" t="s">
        <v>87</v>
      </c>
      <c r="K87" s="66" t="e">
        <f>ROUNDDOWN(K86,2)</f>
        <v>#REF!</v>
      </c>
    </row>
    <row r="88" spans="3:13" ht="15" customHeight="1" x14ac:dyDescent="0.15">
      <c r="C88" s="81"/>
      <c r="D88" s="77" t="s">
        <v>88</v>
      </c>
      <c r="E88" s="76" t="str">
        <f>TEXT(M47,0)&amp;"円／㎡"</f>
        <v>100円／㎡</v>
      </c>
      <c r="F88" s="73" t="str">
        <f>TEXT(K47,0)&amp;"円×0.8＝"&amp;TEXT(M47,0)&amp;"円／㎡　…積算詳細別紙"</f>
        <v>125円×0.8＝100円／㎡　…積算詳細別紙</v>
      </c>
      <c r="G88" s="77"/>
    </row>
    <row r="89" spans="3:13" ht="15" customHeight="1" x14ac:dyDescent="0.15">
      <c r="C89" s="81"/>
      <c r="D89" s="85" t="s">
        <v>83</v>
      </c>
      <c r="E89" s="84"/>
      <c r="F89" s="88"/>
      <c r="G89" s="85"/>
    </row>
    <row r="90" spans="3:13" ht="15" customHeight="1" x14ac:dyDescent="0.15">
      <c r="C90" s="81"/>
      <c r="D90" s="75" t="s">
        <v>172</v>
      </c>
      <c r="E90" s="60" t="e">
        <f>TEXT(K92,0)&amp;"円／㎡・月"</f>
        <v>#REF!</v>
      </c>
      <c r="F90" s="96" t="e">
        <f>TEXT(K87,"#.#0")&amp;"円＋"&amp;TEXT(M47,0)&amp;"円＝"&amp;TEXT(K90,"#.#0")&amp;"円／㎡"</f>
        <v>#REF!</v>
      </c>
      <c r="G90" s="82"/>
      <c r="J90" s="61" t="s">
        <v>89</v>
      </c>
      <c r="K90" s="99" t="e">
        <f>K87+M47</f>
        <v>#REF!</v>
      </c>
    </row>
    <row r="91" spans="3:13" ht="15" customHeight="1" x14ac:dyDescent="0.15">
      <c r="C91" s="83"/>
      <c r="D91" s="83" t="s">
        <v>170</v>
      </c>
      <c r="E91" s="84"/>
      <c r="F91" s="88" t="e">
        <f>TEXT(K90,"#.#0")&amp;"円／㎡÷12か月＝"&amp;TEXT(ROUNDDOWN(K91,2),"#.#0")&amp;"・・・≒"&amp;TEXT(K92,0)&amp;"円／㎡・月"</f>
        <v>#REF!</v>
      </c>
      <c r="G91" s="85"/>
      <c r="J91" s="61" t="s">
        <v>90</v>
      </c>
      <c r="K91" s="61" t="e">
        <f>K90/12</f>
        <v>#REF!</v>
      </c>
    </row>
    <row r="92" spans="3:13" x14ac:dyDescent="0.15">
      <c r="J92" s="61" t="s">
        <v>66</v>
      </c>
      <c r="K92" s="64" t="e">
        <f>ROUNDDOWN(K91,0)</f>
        <v>#REF!</v>
      </c>
    </row>
    <row r="94" spans="3:13" x14ac:dyDescent="0.15">
      <c r="G94" s="103" t="s">
        <v>159</v>
      </c>
      <c r="J94" s="101" t="s">
        <v>163</v>
      </c>
    </row>
    <row r="95" spans="3:13" x14ac:dyDescent="0.15">
      <c r="J95" s="101" t="s">
        <v>91</v>
      </c>
    </row>
    <row r="96" spans="3:13" x14ac:dyDescent="0.15">
      <c r="J96" s="101" t="s">
        <v>92</v>
      </c>
    </row>
    <row r="97" spans="10:10" x14ac:dyDescent="0.15">
      <c r="J97" s="101" t="s">
        <v>93</v>
      </c>
    </row>
    <row r="98" spans="10:10" x14ac:dyDescent="0.15">
      <c r="J98" s="101" t="s">
        <v>181</v>
      </c>
    </row>
    <row r="99" spans="10:10" x14ac:dyDescent="0.15">
      <c r="J99" s="101" t="s">
        <v>179</v>
      </c>
    </row>
    <row r="100" spans="10:10" x14ac:dyDescent="0.15">
      <c r="J100" s="101" t="s">
        <v>180</v>
      </c>
    </row>
    <row r="101" spans="10:10" x14ac:dyDescent="0.15">
      <c r="J101" s="101" t="s">
        <v>94</v>
      </c>
    </row>
    <row r="102" spans="10:10" x14ac:dyDescent="0.15">
      <c r="J102" s="102" t="s">
        <v>95</v>
      </c>
    </row>
    <row r="103" spans="10:10" x14ac:dyDescent="0.15">
      <c r="J103" s="101" t="s">
        <v>162</v>
      </c>
    </row>
  </sheetData>
  <mergeCells count="19">
    <mergeCell ref="B3:G3"/>
    <mergeCell ref="B5:G5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F84:G84"/>
    <mergeCell ref="C14:G15"/>
    <mergeCell ref="F43:G43"/>
    <mergeCell ref="F61:G61"/>
    <mergeCell ref="F68:G68"/>
    <mergeCell ref="F73:G73"/>
    <mergeCell ref="F78:G78"/>
  </mergeCells>
  <phoneticPr fontId="6"/>
  <pageMargins left="0.7" right="0.7" top="0.75" bottom="0.75" header="0.3" footer="0.3"/>
  <pageSetup paperSize="9" scale="97" fitToHeight="0" orientation="portrait" r:id="rId1"/>
  <rowBreaks count="1" manualBreakCount="1">
    <brk id="58" min="1" max="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topLeftCell="A19" zoomScaleNormal="100" workbookViewId="0">
      <selection activeCell="H21" sqref="H21"/>
    </sheetView>
  </sheetViews>
  <sheetFormatPr defaultRowHeight="13.5" x14ac:dyDescent="0.15"/>
  <cols>
    <col min="1" max="11" width="9" style="60"/>
    <col min="12" max="12" width="14.875" style="60" customWidth="1"/>
    <col min="13" max="13" width="9" style="60"/>
    <col min="14" max="14" width="7" style="60" customWidth="1"/>
    <col min="15" max="15" width="9" style="60"/>
    <col min="16" max="16" width="6.5" style="60" bestFit="1" customWidth="1"/>
    <col min="17" max="16384" width="9" style="60"/>
  </cols>
  <sheetData>
    <row r="2" spans="2:15" x14ac:dyDescent="0.15">
      <c r="H2" s="60" t="s">
        <v>96</v>
      </c>
    </row>
    <row r="4" spans="2:15" x14ac:dyDescent="0.15">
      <c r="B4" s="60" t="s">
        <v>97</v>
      </c>
    </row>
    <row r="7" spans="2:15" x14ac:dyDescent="0.15">
      <c r="B7" s="60" t="s">
        <v>98</v>
      </c>
    </row>
    <row r="9" spans="2:15" ht="85.5" customHeight="1" x14ac:dyDescent="0.15">
      <c r="B9" s="236" t="s">
        <v>99</v>
      </c>
      <c r="C9" s="236"/>
      <c r="D9" s="236"/>
      <c r="E9" s="236"/>
      <c r="F9" s="236"/>
      <c r="G9" s="236"/>
      <c r="H9" s="236"/>
      <c r="I9" s="236"/>
    </row>
    <row r="10" spans="2:15" x14ac:dyDescent="0.15">
      <c r="B10" s="236" t="s">
        <v>100</v>
      </c>
      <c r="C10" s="236"/>
      <c r="D10" s="236"/>
      <c r="E10" s="236"/>
      <c r="F10" s="236"/>
      <c r="G10" s="236"/>
      <c r="H10" s="236"/>
      <c r="I10" s="236"/>
    </row>
    <row r="11" spans="2:15" ht="35.25" customHeight="1" x14ac:dyDescent="0.15">
      <c r="B11" s="256" t="str">
        <f>"　以上のことから、平常清掃単価については、市場実態調査情報誌における「日常清掃単価」"&amp;(TEXT(M12,0))&amp;"円／㎡を採用し、諸経費相当分を除き㎡単価は次のとおり"</f>
        <v>　以上のことから、平常清掃単価については、市場実態調査情報誌における「日常清掃単価」105円／㎡を採用し、諸経費相当分を除き㎡単価は次のとおり</v>
      </c>
      <c r="C11" s="236"/>
      <c r="D11" s="236"/>
      <c r="E11" s="236"/>
      <c r="F11" s="236"/>
      <c r="G11" s="236"/>
      <c r="H11" s="236"/>
      <c r="I11" s="236"/>
    </row>
    <row r="12" spans="2:15" x14ac:dyDescent="0.15">
      <c r="L12" s="61" t="s">
        <v>101</v>
      </c>
      <c r="M12" s="79">
        <v>105</v>
      </c>
      <c r="N12" s="60" t="s">
        <v>102</v>
      </c>
      <c r="O12" s="61">
        <f>M12*0.8</f>
        <v>84</v>
      </c>
    </row>
    <row r="13" spans="2:15" x14ac:dyDescent="0.15">
      <c r="C13" s="60" t="str">
        <f>(TEXT(M12,0))&amp;"／㎡・月×0.8＝"&amp;TEXT(O12,0)&amp;"／㎡・月"</f>
        <v>105／㎡・月×0.8＝84／㎡・月</v>
      </c>
    </row>
    <row r="16" spans="2:15" x14ac:dyDescent="0.15">
      <c r="B16" s="60" t="s">
        <v>103</v>
      </c>
    </row>
    <row r="18" spans="2:15" ht="59.25" customHeight="1" x14ac:dyDescent="0.15">
      <c r="B18" s="236" t="s">
        <v>104</v>
      </c>
      <c r="C18" s="257"/>
      <c r="D18" s="257"/>
      <c r="E18" s="257"/>
      <c r="F18" s="257"/>
      <c r="G18" s="257"/>
      <c r="H18" s="257"/>
      <c r="I18" s="257"/>
    </row>
    <row r="19" spans="2:15" x14ac:dyDescent="0.15">
      <c r="L19" s="61" t="s">
        <v>105</v>
      </c>
      <c r="M19" s="79">
        <v>115</v>
      </c>
      <c r="N19" s="60" t="s">
        <v>106</v>
      </c>
      <c r="O19" s="60">
        <f>M19/2</f>
        <v>57.5</v>
      </c>
    </row>
    <row r="20" spans="2:15" x14ac:dyDescent="0.15">
      <c r="C20" s="60" t="str">
        <f>"⇒　"&amp;TEXT(M19,0)&amp;"円／2回　：　"&amp;TEXT(M20,0)&amp;"円　＝　"&amp;TEXT(M20,0)&amp;"円　：　ｘ"</f>
        <v>⇒　115円／2回　：　85円　＝　85円　：　ｘ</v>
      </c>
      <c r="L20" s="61" t="s">
        <v>107</v>
      </c>
      <c r="M20" s="79">
        <v>85</v>
      </c>
    </row>
    <row r="21" spans="2:15" x14ac:dyDescent="0.15">
      <c r="C21" s="67" t="str">
        <f>"⇒　ｘ＝（"&amp;TEXT(M20,0)&amp;"円×"&amp;TEXT(M20,0)&amp;"円）／"&amp;TEXT(O19,"###.#")&amp;"円"</f>
        <v>⇒　ｘ＝（85円×85円）／57.5円</v>
      </c>
      <c r="L21" s="61" t="s">
        <v>108</v>
      </c>
      <c r="M21" s="61">
        <f>ROUNDDOWN(M20*M20/O19,0)</f>
        <v>125</v>
      </c>
      <c r="N21" s="60" t="s">
        <v>102</v>
      </c>
      <c r="O21" s="60">
        <f>M21*0.8</f>
        <v>100</v>
      </c>
    </row>
    <row r="22" spans="2:15" x14ac:dyDescent="0.15">
      <c r="D22" s="60" t="str">
        <f>"≒"&amp;TEXT(M21,0)&amp;"円／㎡（2月に1回の場合の1回当たりの単価　諸経費込み）"</f>
        <v>≒125円／㎡（2月に1回の場合の1回当たりの単価　諸経費込み）</v>
      </c>
      <c r="N22" s="60" t="s">
        <v>109</v>
      </c>
      <c r="O22" s="60">
        <f>ROUNDDOWN(O21*5/12,0)</f>
        <v>41</v>
      </c>
    </row>
    <row r="24" spans="2:15" x14ac:dyDescent="0.15">
      <c r="B24" s="257" t="s">
        <v>110</v>
      </c>
      <c r="C24" s="257"/>
      <c r="D24" s="257"/>
      <c r="E24" s="257"/>
      <c r="F24" s="257"/>
      <c r="G24" s="257"/>
      <c r="H24" s="257"/>
      <c r="I24" s="257"/>
    </row>
    <row r="25" spans="2:15" x14ac:dyDescent="0.15">
      <c r="B25" s="100"/>
      <c r="C25" s="100"/>
      <c r="D25" s="100"/>
      <c r="E25" s="100"/>
      <c r="F25" s="100"/>
      <c r="G25" s="100"/>
      <c r="H25" s="100"/>
      <c r="I25" s="100"/>
    </row>
    <row r="26" spans="2:15" x14ac:dyDescent="0.15">
      <c r="C26" s="60" t="str">
        <f>"① 諸経費を除く　　　"&amp;TEXT(M21,0)&amp;"円／㎡×0.8＝"&amp;TEXT(O21,0)&amp;"円"</f>
        <v>① 諸経費を除く　　　125円／㎡×0.8＝100円</v>
      </c>
    </row>
    <row r="27" spans="2:15" ht="28.5" customHeight="1" x14ac:dyDescent="0.15">
      <c r="C27" s="236" t="s">
        <v>111</v>
      </c>
      <c r="D27" s="236"/>
      <c r="E27" s="236"/>
      <c r="F27" s="236"/>
      <c r="G27" s="236"/>
      <c r="H27" s="236"/>
      <c r="I27" s="236"/>
    </row>
    <row r="28" spans="2:15" x14ac:dyDescent="0.15">
      <c r="C28" s="60" t="str">
        <f>TEXT(O21,0)&amp;"円／㎡×5回÷12ヶ月≒"&amp;TEXT(O22,0)&amp;"円／㎡・月"</f>
        <v>100円／㎡×5回÷12ヶ月≒41円／㎡・月</v>
      </c>
    </row>
  </sheetData>
  <mergeCells count="6">
    <mergeCell ref="C27:I27"/>
    <mergeCell ref="B9:I9"/>
    <mergeCell ref="B10:I10"/>
    <mergeCell ref="B11:I11"/>
    <mergeCell ref="B18:I18"/>
    <mergeCell ref="B24:I24"/>
  </mergeCells>
  <phoneticPr fontId="6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60"/>
  <sheetViews>
    <sheetView showZeros="0" tabSelected="1" view="pageBreakPreview" zoomScale="75" zoomScaleNormal="100" zoomScaleSheetLayoutView="75" workbookViewId="0">
      <selection activeCell="G3" sqref="G3"/>
    </sheetView>
  </sheetViews>
  <sheetFormatPr defaultColWidth="10.75" defaultRowHeight="14.25" x14ac:dyDescent="0.15"/>
  <cols>
    <col min="1" max="1" width="4.75" style="152" customWidth="1"/>
    <col min="2" max="2" width="4.875" style="152" customWidth="1"/>
    <col min="3" max="3" width="27" style="152" customWidth="1"/>
    <col min="4" max="4" width="12.625" style="152" customWidth="1"/>
    <col min="5" max="5" width="19.75" style="152" customWidth="1"/>
    <col min="6" max="6" width="26.375" style="152" customWidth="1"/>
    <col min="7" max="7" width="27.5" style="152" bestFit="1" customWidth="1"/>
    <col min="8" max="8" width="1" style="163" customWidth="1"/>
    <col min="9" max="16384" width="10.75" style="152"/>
  </cols>
  <sheetData>
    <row r="1" spans="1:10" ht="19.5" customHeight="1" x14ac:dyDescent="0.2">
      <c r="A1" s="2" t="s">
        <v>273</v>
      </c>
      <c r="B1" s="1"/>
      <c r="C1" s="1"/>
      <c r="D1" s="1"/>
      <c r="E1" s="1"/>
      <c r="F1" s="1"/>
      <c r="G1" s="1"/>
      <c r="H1" s="49"/>
    </row>
    <row r="2" spans="1:10" ht="19.5" customHeight="1" x14ac:dyDescent="0.2">
      <c r="A2" s="57"/>
      <c r="B2" s="1"/>
      <c r="C2" s="1"/>
      <c r="D2" s="1"/>
      <c r="E2" s="1"/>
      <c r="F2" s="280" t="s">
        <v>283</v>
      </c>
      <c r="G2" s="279"/>
      <c r="H2" s="49"/>
    </row>
    <row r="3" spans="1:10" ht="19.5" customHeight="1" x14ac:dyDescent="0.2">
      <c r="A3" s="2"/>
      <c r="B3" s="1"/>
      <c r="C3" s="1"/>
      <c r="D3" s="1"/>
      <c r="E3" s="1"/>
      <c r="F3" s="49"/>
      <c r="G3" s="1"/>
      <c r="H3" s="49"/>
    </row>
    <row r="4" spans="1:10" ht="16.5" customHeight="1" x14ac:dyDescent="0.2">
      <c r="A4" s="2"/>
      <c r="B4" s="1"/>
      <c r="C4" s="1"/>
      <c r="D4" s="1"/>
      <c r="E4" s="1"/>
      <c r="F4" s="1"/>
      <c r="G4" s="1"/>
      <c r="H4" s="49"/>
    </row>
    <row r="5" spans="1:10" ht="29.25" customHeight="1" x14ac:dyDescent="0.15">
      <c r="A5" s="7"/>
      <c r="B5" s="8"/>
      <c r="C5" s="9" t="s">
        <v>4</v>
      </c>
      <c r="D5" s="271" t="s">
        <v>272</v>
      </c>
      <c r="E5" s="272"/>
      <c r="F5" s="272"/>
      <c r="G5" s="273"/>
      <c r="H5" s="49"/>
    </row>
    <row r="6" spans="1:10" ht="29.25" customHeight="1" x14ac:dyDescent="0.15">
      <c r="A6" s="154"/>
      <c r="B6" s="155"/>
      <c r="C6" s="156"/>
      <c r="D6" s="157" t="s">
        <v>33</v>
      </c>
      <c r="E6" s="157" t="s">
        <v>34</v>
      </c>
      <c r="F6" s="158" t="s">
        <v>35</v>
      </c>
      <c r="G6" s="157" t="s">
        <v>3</v>
      </c>
      <c r="H6" s="159"/>
    </row>
    <row r="7" spans="1:10" ht="29.25" customHeight="1" x14ac:dyDescent="0.15">
      <c r="A7" s="258" t="s">
        <v>234</v>
      </c>
      <c r="B7" s="181" t="s">
        <v>276</v>
      </c>
      <c r="C7" s="52"/>
      <c r="D7" s="136"/>
      <c r="E7" s="137"/>
      <c r="F7" s="137"/>
      <c r="G7" s="145"/>
      <c r="H7" s="47"/>
    </row>
    <row r="8" spans="1:10" ht="29.25" customHeight="1" x14ac:dyDescent="0.15">
      <c r="A8" s="259"/>
      <c r="B8" s="195" t="s">
        <v>236</v>
      </c>
      <c r="C8" s="183"/>
      <c r="D8" s="184"/>
      <c r="E8" s="161"/>
      <c r="F8" s="161"/>
      <c r="G8" s="146"/>
      <c r="H8" s="47"/>
    </row>
    <row r="9" spans="1:10" ht="29.25" customHeight="1" x14ac:dyDescent="0.15">
      <c r="A9" s="266"/>
      <c r="B9" s="3" t="s">
        <v>1</v>
      </c>
      <c r="C9" s="4"/>
      <c r="D9" s="140"/>
      <c r="E9" s="140"/>
      <c r="F9" s="140"/>
      <c r="G9" s="147"/>
      <c r="H9" s="47"/>
    </row>
    <row r="10" spans="1:10" ht="29.25" customHeight="1" x14ac:dyDescent="0.15">
      <c r="A10" s="258" t="s">
        <v>235</v>
      </c>
      <c r="B10" s="153"/>
      <c r="C10" s="153"/>
      <c r="D10" s="158" t="s">
        <v>250</v>
      </c>
      <c r="E10" s="140"/>
      <c r="F10" s="140"/>
      <c r="G10" s="160"/>
      <c r="H10" s="47"/>
    </row>
    <row r="11" spans="1:10" ht="29.25" customHeight="1" x14ac:dyDescent="0.15">
      <c r="A11" s="267"/>
      <c r="B11" s="158" t="s">
        <v>237</v>
      </c>
      <c r="C11" s="216" t="s">
        <v>274</v>
      </c>
      <c r="D11" s="197">
        <v>1238.5</v>
      </c>
      <c r="E11" s="137"/>
      <c r="F11" s="137"/>
      <c r="G11" s="148"/>
      <c r="H11" s="47"/>
    </row>
    <row r="12" spans="1:10" ht="29.25" customHeight="1" x14ac:dyDescent="0.15">
      <c r="A12" s="267"/>
      <c r="B12" s="5"/>
      <c r="C12" s="217" t="s">
        <v>275</v>
      </c>
      <c r="D12" s="198">
        <v>3286.1</v>
      </c>
      <c r="E12" s="138"/>
      <c r="F12" s="138"/>
      <c r="G12" s="149"/>
      <c r="H12" s="47"/>
    </row>
    <row r="13" spans="1:10" ht="29.25" customHeight="1" x14ac:dyDescent="0.15">
      <c r="A13" s="267"/>
      <c r="B13" s="5"/>
      <c r="C13" s="135" t="s">
        <v>249</v>
      </c>
      <c r="D13" s="198">
        <v>431.56</v>
      </c>
      <c r="E13" s="138"/>
      <c r="F13" s="138"/>
      <c r="G13" s="149"/>
      <c r="H13" s="47"/>
    </row>
    <row r="14" spans="1:10" ht="29.25" customHeight="1" x14ac:dyDescent="0.15">
      <c r="A14" s="267"/>
      <c r="B14" s="225" t="s">
        <v>0</v>
      </c>
      <c r="C14" s="189" t="s">
        <v>238</v>
      </c>
      <c r="D14" s="199">
        <v>2149.88</v>
      </c>
      <c r="E14" s="139"/>
      <c r="F14" s="139"/>
      <c r="G14" s="150"/>
      <c r="H14" s="47"/>
    </row>
    <row r="15" spans="1:10" ht="29.25" customHeight="1" x14ac:dyDescent="0.15">
      <c r="A15" s="267"/>
      <c r="B15" s="274" t="s">
        <v>281</v>
      </c>
      <c r="C15" s="222" t="s">
        <v>239</v>
      </c>
      <c r="D15" s="223">
        <v>4302.25</v>
      </c>
      <c r="E15" s="224"/>
      <c r="F15" s="224"/>
      <c r="G15" s="193" t="s">
        <v>256</v>
      </c>
      <c r="H15" s="47"/>
      <c r="J15" s="1"/>
    </row>
    <row r="16" spans="1:10" ht="29.25" customHeight="1" x14ac:dyDescent="0.15">
      <c r="A16" s="267"/>
      <c r="B16" s="266"/>
      <c r="C16" s="219" t="s">
        <v>240</v>
      </c>
      <c r="D16" s="218">
        <v>775.37</v>
      </c>
      <c r="E16" s="220"/>
      <c r="F16" s="161"/>
      <c r="G16" s="221" t="s">
        <v>268</v>
      </c>
      <c r="H16" s="47"/>
    </row>
    <row r="17" spans="1:12" ht="29.25" customHeight="1" x14ac:dyDescent="0.15">
      <c r="A17" s="267"/>
      <c r="B17" s="261" t="s">
        <v>50</v>
      </c>
      <c r="C17" s="190" t="s">
        <v>277</v>
      </c>
      <c r="D17" s="197">
        <v>479.33</v>
      </c>
      <c r="E17" s="137"/>
      <c r="F17" s="137"/>
      <c r="G17" s="151" t="s">
        <v>244</v>
      </c>
      <c r="H17" s="47"/>
      <c r="J17" s="49"/>
      <c r="K17" s="163"/>
      <c r="L17" s="164"/>
    </row>
    <row r="18" spans="1:12" ht="29.25" customHeight="1" x14ac:dyDescent="0.15">
      <c r="A18" s="267"/>
      <c r="B18" s="262"/>
      <c r="C18" s="135" t="s">
        <v>242</v>
      </c>
      <c r="D18" s="198">
        <v>82.92</v>
      </c>
      <c r="E18" s="138"/>
      <c r="F18" s="138"/>
      <c r="G18" s="192" t="s">
        <v>245</v>
      </c>
      <c r="H18" s="47"/>
    </row>
    <row r="19" spans="1:12" ht="29.25" customHeight="1" x14ac:dyDescent="0.15">
      <c r="A19" s="267"/>
      <c r="B19" s="262"/>
      <c r="C19" s="135" t="s">
        <v>278</v>
      </c>
      <c r="D19" s="198">
        <v>312.43</v>
      </c>
      <c r="E19" s="138"/>
      <c r="F19" s="138"/>
      <c r="G19" s="192" t="s">
        <v>246</v>
      </c>
      <c r="H19" s="47"/>
    </row>
    <row r="20" spans="1:12" ht="29.25" customHeight="1" x14ac:dyDescent="0.15">
      <c r="A20" s="267"/>
      <c r="B20" s="262"/>
      <c r="C20" s="135" t="s">
        <v>241</v>
      </c>
      <c r="D20" s="198">
        <v>132.4</v>
      </c>
      <c r="E20" s="138"/>
      <c r="F20" s="138"/>
      <c r="G20" s="192" t="s">
        <v>245</v>
      </c>
      <c r="H20" s="47"/>
    </row>
    <row r="21" spans="1:12" ht="29.25" customHeight="1" x14ac:dyDescent="0.15">
      <c r="A21" s="267"/>
      <c r="B21" s="262"/>
      <c r="C21" s="191" t="s">
        <v>243</v>
      </c>
      <c r="D21" s="198">
        <v>178.25</v>
      </c>
      <c r="E21" s="138"/>
      <c r="F21" s="138"/>
      <c r="G21" s="192" t="s">
        <v>245</v>
      </c>
      <c r="H21" s="47"/>
    </row>
    <row r="22" spans="1:12" ht="29.25" customHeight="1" x14ac:dyDescent="0.15">
      <c r="A22" s="267"/>
      <c r="B22" s="262"/>
      <c r="C22" s="135" t="s">
        <v>247</v>
      </c>
      <c r="D22" s="198">
        <v>192.08</v>
      </c>
      <c r="E22" s="138"/>
      <c r="F22" s="138"/>
      <c r="G22" s="192" t="s">
        <v>245</v>
      </c>
      <c r="H22" s="47"/>
    </row>
    <row r="23" spans="1:12" ht="29.25" customHeight="1" x14ac:dyDescent="0.15">
      <c r="A23" s="267"/>
      <c r="B23" s="263"/>
      <c r="C23" s="200" t="s">
        <v>248</v>
      </c>
      <c r="D23" s="207">
        <v>47.58</v>
      </c>
      <c r="E23" s="186"/>
      <c r="F23" s="186"/>
      <c r="G23" s="208" t="s">
        <v>231</v>
      </c>
      <c r="H23" s="47"/>
      <c r="J23" s="49"/>
      <c r="K23" s="163"/>
      <c r="L23" s="164"/>
    </row>
    <row r="24" spans="1:12" ht="29.25" customHeight="1" x14ac:dyDescent="0.15">
      <c r="A24" s="267"/>
      <c r="B24" s="195"/>
      <c r="C24" s="183" t="s">
        <v>252</v>
      </c>
      <c r="D24" s="184"/>
      <c r="E24" s="161"/>
      <c r="F24" s="161"/>
      <c r="G24" s="146"/>
      <c r="H24" s="47"/>
    </row>
    <row r="25" spans="1:12" ht="29.25" customHeight="1" x14ac:dyDescent="0.15">
      <c r="A25" s="268"/>
      <c r="B25" s="3" t="s">
        <v>2</v>
      </c>
      <c r="C25" s="4"/>
      <c r="D25" s="3"/>
      <c r="E25" s="140"/>
      <c r="F25" s="140"/>
      <c r="G25" s="147"/>
      <c r="H25" s="47"/>
      <c r="J25" s="49"/>
      <c r="K25" s="163"/>
      <c r="L25" s="164"/>
    </row>
    <row r="26" spans="1:12" ht="29.25" customHeight="1" x14ac:dyDescent="0.15">
      <c r="A26" s="165"/>
      <c r="B26" s="166" t="s">
        <v>266</v>
      </c>
      <c r="C26" s="167"/>
      <c r="D26" s="206" t="s">
        <v>269</v>
      </c>
      <c r="E26" s="167">
        <v>12</v>
      </c>
      <c r="F26" s="168">
        <f>SUM(F25,F9)*E26</f>
        <v>0</v>
      </c>
      <c r="G26" s="169"/>
      <c r="H26" s="50"/>
      <c r="J26" s="49"/>
      <c r="K26" s="163"/>
      <c r="L26" s="164"/>
    </row>
    <row r="27" spans="1:12" ht="29.25" customHeight="1" x14ac:dyDescent="0.15">
      <c r="A27" s="258" t="s">
        <v>251</v>
      </c>
      <c r="B27" s="277" t="s">
        <v>264</v>
      </c>
      <c r="C27" s="209" t="s">
        <v>276</v>
      </c>
      <c r="D27" s="210"/>
      <c r="E27" s="201"/>
      <c r="F27" s="201"/>
      <c r="G27" s="194"/>
      <c r="H27" s="47"/>
    </row>
    <row r="28" spans="1:12" ht="29.25" customHeight="1" x14ac:dyDescent="0.15">
      <c r="A28" s="259"/>
      <c r="B28" s="278"/>
      <c r="C28" s="196" t="s">
        <v>236</v>
      </c>
      <c r="D28" s="184"/>
      <c r="E28" s="161"/>
      <c r="F28" s="161"/>
      <c r="G28" s="146"/>
      <c r="H28" s="47"/>
    </row>
    <row r="29" spans="1:12" ht="29.25" customHeight="1" x14ac:dyDescent="0.15">
      <c r="A29" s="266"/>
      <c r="B29" s="182" t="s">
        <v>259</v>
      </c>
      <c r="C29" s="4"/>
      <c r="D29" s="158" t="s">
        <v>270</v>
      </c>
      <c r="E29" s="140">
        <v>2</v>
      </c>
      <c r="F29" s="140">
        <f>SUM(F27:F28)*E29</f>
        <v>0</v>
      </c>
      <c r="G29" s="147"/>
      <c r="H29" s="47"/>
    </row>
    <row r="30" spans="1:12" ht="29.25" customHeight="1" x14ac:dyDescent="0.15">
      <c r="A30" s="258" t="s">
        <v>253</v>
      </c>
      <c r="B30" s="275" t="s">
        <v>265</v>
      </c>
      <c r="C30" s="181" t="s">
        <v>280</v>
      </c>
      <c r="D30" s="136"/>
      <c r="E30" s="137"/>
      <c r="F30" s="137"/>
      <c r="G30" s="193"/>
      <c r="H30" s="47"/>
    </row>
    <row r="31" spans="1:12" ht="29.25" customHeight="1" x14ac:dyDescent="0.15">
      <c r="A31" s="259"/>
      <c r="B31" s="276"/>
      <c r="C31" s="195" t="s">
        <v>236</v>
      </c>
      <c r="D31" s="184"/>
      <c r="E31" s="161"/>
      <c r="F31" s="161"/>
      <c r="G31" s="146"/>
      <c r="H31" s="47"/>
    </row>
    <row r="32" spans="1:12" ht="29.25" customHeight="1" x14ac:dyDescent="0.15">
      <c r="A32" s="266"/>
      <c r="B32" s="182" t="s">
        <v>260</v>
      </c>
      <c r="C32" s="4"/>
      <c r="D32" s="158" t="s">
        <v>270</v>
      </c>
      <c r="E32" s="140">
        <v>2</v>
      </c>
      <c r="F32" s="140">
        <f>SUM(F30:F31)*E32</f>
        <v>0</v>
      </c>
      <c r="G32" s="147"/>
      <c r="H32" s="47"/>
    </row>
    <row r="33" spans="1:10" ht="29.25" customHeight="1" x14ac:dyDescent="0.15">
      <c r="A33" s="258" t="s">
        <v>254</v>
      </c>
      <c r="B33" s="258" t="s">
        <v>265</v>
      </c>
      <c r="C33" s="181" t="s">
        <v>255</v>
      </c>
      <c r="D33" s="136"/>
      <c r="E33" s="137"/>
      <c r="F33" s="137"/>
      <c r="G33" s="145"/>
      <c r="H33" s="47"/>
    </row>
    <row r="34" spans="1:10" ht="29.25" customHeight="1" x14ac:dyDescent="0.15">
      <c r="A34" s="259"/>
      <c r="B34" s="259"/>
      <c r="C34" s="172" t="s">
        <v>263</v>
      </c>
      <c r="D34" s="211"/>
      <c r="E34" s="171"/>
      <c r="F34" s="171"/>
      <c r="G34" s="59"/>
      <c r="H34" s="47"/>
    </row>
    <row r="35" spans="1:10" ht="29.25" customHeight="1" x14ac:dyDescent="0.15">
      <c r="A35" s="259"/>
      <c r="B35" s="260"/>
      <c r="C35" s="212" t="s">
        <v>236</v>
      </c>
      <c r="D35" s="213"/>
      <c r="E35" s="168"/>
      <c r="F35" s="168"/>
      <c r="G35" s="214"/>
      <c r="H35" s="50"/>
    </row>
    <row r="36" spans="1:10" ht="29.25" customHeight="1" x14ac:dyDescent="0.15">
      <c r="A36" s="266"/>
      <c r="B36" s="182" t="s">
        <v>261</v>
      </c>
      <c r="C36" s="187"/>
      <c r="D36" s="185" t="s">
        <v>270</v>
      </c>
      <c r="E36" s="154">
        <v>2</v>
      </c>
      <c r="F36" s="154">
        <f>SUM(F33:F35)*E36</f>
        <v>0</v>
      </c>
      <c r="G36" s="188"/>
      <c r="H36" s="47"/>
    </row>
    <row r="37" spans="1:10" ht="29.25" customHeight="1" x14ac:dyDescent="0.15">
      <c r="A37" s="269" t="s">
        <v>257</v>
      </c>
      <c r="B37" s="258" t="s">
        <v>265</v>
      </c>
      <c r="C37" s="181" t="s">
        <v>279</v>
      </c>
      <c r="D37" s="136"/>
      <c r="E37" s="137"/>
      <c r="F37" s="137"/>
      <c r="G37" s="145"/>
      <c r="H37" s="47"/>
    </row>
    <row r="38" spans="1:10" ht="29.25" customHeight="1" x14ac:dyDescent="0.15">
      <c r="A38" s="270"/>
      <c r="B38" s="259"/>
      <c r="C38" s="172"/>
      <c r="D38" s="211"/>
      <c r="E38" s="171"/>
      <c r="F38" s="171"/>
      <c r="G38" s="59"/>
      <c r="H38" s="47"/>
    </row>
    <row r="39" spans="1:10" ht="29.25" customHeight="1" x14ac:dyDescent="0.15">
      <c r="A39" s="270"/>
      <c r="B39" s="260"/>
      <c r="C39" s="212"/>
      <c r="D39" s="213"/>
      <c r="E39" s="168"/>
      <c r="F39" s="168"/>
      <c r="G39" s="214"/>
      <c r="H39" s="50"/>
    </row>
    <row r="40" spans="1:10" ht="29.25" customHeight="1" thickBot="1" x14ac:dyDescent="0.2">
      <c r="A40" s="270"/>
      <c r="B40" s="182" t="s">
        <v>262</v>
      </c>
      <c r="C40" s="187"/>
      <c r="D40" s="185" t="s">
        <v>270</v>
      </c>
      <c r="E40" s="154">
        <v>1</v>
      </c>
      <c r="F40" s="154">
        <f>SUM(F37:F39)*E40</f>
        <v>0</v>
      </c>
      <c r="G40" s="215"/>
      <c r="H40" s="47"/>
    </row>
    <row r="41" spans="1:10" ht="29.25" customHeight="1" thickBot="1" x14ac:dyDescent="0.2">
      <c r="A41" s="202" t="s">
        <v>267</v>
      </c>
      <c r="B41" s="203"/>
      <c r="C41" s="203"/>
      <c r="D41" s="204"/>
      <c r="E41" s="204"/>
      <c r="F41" s="204"/>
      <c r="G41" s="205"/>
      <c r="H41" s="50"/>
      <c r="I41" s="49"/>
    </row>
    <row r="42" spans="1:10" ht="29.25" customHeight="1" x14ac:dyDescent="0.15">
      <c r="A42" s="161" t="s">
        <v>41</v>
      </c>
      <c r="B42" s="170"/>
      <c r="C42" s="170"/>
      <c r="D42" s="233" t="s">
        <v>37</v>
      </c>
      <c r="E42" s="161">
        <v>5</v>
      </c>
      <c r="F42" s="161"/>
      <c r="G42" s="162"/>
      <c r="H42" s="47"/>
      <c r="I42" s="49"/>
    </row>
    <row r="43" spans="1:10" ht="29.25" customHeight="1" x14ac:dyDescent="0.15">
      <c r="A43" s="138" t="s">
        <v>233</v>
      </c>
      <c r="B43" s="142"/>
      <c r="C43" s="142"/>
      <c r="D43" s="234"/>
      <c r="E43" s="143"/>
      <c r="F43" s="144"/>
      <c r="G43" s="53" t="s">
        <v>232</v>
      </c>
      <c r="H43" s="50"/>
      <c r="I43" s="49"/>
    </row>
    <row r="44" spans="1:10" ht="29.25" customHeight="1" thickBot="1" x14ac:dyDescent="0.2">
      <c r="A44" s="135" t="s">
        <v>271</v>
      </c>
      <c r="B44" s="142"/>
      <c r="C44" s="142"/>
      <c r="D44" s="234" t="s">
        <v>282</v>
      </c>
      <c r="E44" s="141">
        <v>5</v>
      </c>
      <c r="F44" s="138"/>
      <c r="G44" s="149" t="s">
        <v>258</v>
      </c>
      <c r="H44" s="47"/>
    </row>
    <row r="45" spans="1:10" ht="29.25" customHeight="1" thickTop="1" thickBot="1" x14ac:dyDescent="0.2">
      <c r="A45" s="171" t="s">
        <v>42</v>
      </c>
      <c r="B45" s="173"/>
      <c r="C45" s="173"/>
      <c r="D45" s="171"/>
      <c r="E45" s="171"/>
      <c r="F45" s="174"/>
      <c r="G45" s="54"/>
      <c r="H45" s="50"/>
      <c r="I45" s="49"/>
    </row>
    <row r="46" spans="1:10" ht="15" customHeight="1" thickTop="1" x14ac:dyDescent="0.15">
      <c r="A46" s="153"/>
      <c r="B46" s="153"/>
      <c r="C46" s="153"/>
      <c r="D46" s="153"/>
      <c r="E46" s="153"/>
      <c r="F46" s="175"/>
      <c r="G46" s="48"/>
      <c r="H46" s="50"/>
      <c r="I46" s="176"/>
      <c r="J46" s="49"/>
    </row>
    <row r="47" spans="1:10" ht="13.5" customHeight="1" x14ac:dyDescent="0.15">
      <c r="A47" s="177"/>
      <c r="B47" s="173"/>
      <c r="C47" s="173"/>
      <c r="D47" s="173"/>
      <c r="E47" s="173"/>
      <c r="F47" s="173"/>
      <c r="G47" s="173"/>
      <c r="H47" s="175"/>
      <c r="I47" s="178"/>
    </row>
    <row r="48" spans="1:10" ht="19.5" customHeight="1" x14ac:dyDescent="0.15">
      <c r="A48" s="264"/>
      <c r="B48" s="265"/>
      <c r="C48" s="265"/>
      <c r="D48" s="265"/>
      <c r="E48" s="265"/>
      <c r="F48" s="265"/>
      <c r="G48" s="265"/>
      <c r="H48" s="175"/>
      <c r="I48" s="178"/>
    </row>
    <row r="49" spans="1:9" ht="19.5" customHeight="1" x14ac:dyDescent="0.15">
      <c r="A49" s="226"/>
      <c r="B49" s="227"/>
      <c r="C49" s="228"/>
      <c r="D49" s="229"/>
      <c r="E49" s="230"/>
      <c r="F49" s="231"/>
      <c r="G49" s="232"/>
      <c r="H49" s="175"/>
      <c r="I49" s="178"/>
    </row>
    <row r="50" spans="1:9" ht="24" customHeight="1" x14ac:dyDescent="0.15">
      <c r="A50" s="49"/>
      <c r="B50" s="49"/>
      <c r="C50" s="49"/>
      <c r="D50" s="49"/>
      <c r="E50" s="49"/>
      <c r="F50" s="49"/>
      <c r="G50" s="49"/>
      <c r="H50" s="175"/>
    </row>
    <row r="51" spans="1:9" ht="24" customHeight="1" x14ac:dyDescent="0.15">
      <c r="A51" s="49"/>
      <c r="B51" s="49"/>
      <c r="C51" s="49"/>
      <c r="D51" s="49"/>
      <c r="E51" s="49"/>
      <c r="F51" s="49"/>
      <c r="G51" s="49"/>
      <c r="H51" s="175"/>
    </row>
    <row r="52" spans="1:9" ht="24" customHeight="1" x14ac:dyDescent="0.15">
      <c r="A52" s="49"/>
      <c r="B52" s="49"/>
      <c r="C52" s="49"/>
      <c r="D52" s="49"/>
      <c r="E52" s="49"/>
      <c r="F52" s="49"/>
      <c r="G52" s="49"/>
      <c r="H52" s="175"/>
    </row>
    <row r="53" spans="1:9" ht="24" customHeight="1" x14ac:dyDescent="0.15">
      <c r="A53" s="49"/>
      <c r="B53" s="49"/>
      <c r="C53" s="49"/>
      <c r="D53" s="49"/>
      <c r="E53" s="49"/>
      <c r="F53" s="49"/>
      <c r="G53" s="49"/>
      <c r="H53" s="175"/>
    </row>
    <row r="54" spans="1:9" ht="24" customHeight="1" x14ac:dyDescent="0.15">
      <c r="A54" s="49"/>
      <c r="B54" s="49"/>
      <c r="C54" s="49"/>
      <c r="D54" s="49"/>
      <c r="E54" s="49"/>
      <c r="F54" s="49"/>
      <c r="G54" s="49"/>
      <c r="H54" s="175"/>
    </row>
    <row r="55" spans="1:9" ht="24" customHeight="1" x14ac:dyDescent="0.15">
      <c r="A55" s="49"/>
      <c r="B55" s="49"/>
      <c r="C55" s="49"/>
      <c r="D55" s="49"/>
      <c r="E55" s="49"/>
      <c r="F55" s="49"/>
      <c r="G55" s="49"/>
      <c r="H55" s="175"/>
    </row>
    <row r="56" spans="1:9" ht="24" customHeight="1" x14ac:dyDescent="0.15">
      <c r="A56" s="1"/>
      <c r="C56" s="1"/>
      <c r="D56" s="179"/>
      <c r="H56" s="175"/>
    </row>
    <row r="57" spans="1:9" ht="24.95" customHeight="1" x14ac:dyDescent="0.15">
      <c r="A57" s="1"/>
      <c r="C57" s="1"/>
      <c r="G57" s="163"/>
      <c r="H57" s="175"/>
    </row>
    <row r="58" spans="1:9" ht="24" customHeight="1" x14ac:dyDescent="0.15">
      <c r="C58" s="1"/>
      <c r="F58" s="180"/>
      <c r="G58" s="163"/>
      <c r="H58" s="175"/>
    </row>
    <row r="59" spans="1:9" ht="24.95" customHeight="1" x14ac:dyDescent="0.15">
      <c r="A59" s="1"/>
      <c r="G59" s="163"/>
      <c r="H59" s="175"/>
    </row>
    <row r="60" spans="1:9" x14ac:dyDescent="0.15">
      <c r="H60" s="49"/>
    </row>
  </sheetData>
  <mergeCells count="14">
    <mergeCell ref="D5:G5"/>
    <mergeCell ref="B15:B16"/>
    <mergeCell ref="A27:A29"/>
    <mergeCell ref="A30:A32"/>
    <mergeCell ref="A33:A36"/>
    <mergeCell ref="B30:B31"/>
    <mergeCell ref="B33:B35"/>
    <mergeCell ref="B27:B28"/>
    <mergeCell ref="B37:B39"/>
    <mergeCell ref="B17:B23"/>
    <mergeCell ref="A48:G48"/>
    <mergeCell ref="A7:A9"/>
    <mergeCell ref="A10:A25"/>
    <mergeCell ref="A37:A40"/>
  </mergeCells>
  <phoneticPr fontId="6"/>
  <conditionalFormatting sqref="G11 G13:G14">
    <cfRule type="uniqueValues" dxfId="1" priority="7"/>
  </conditionalFormatting>
  <conditionalFormatting sqref="G12">
    <cfRule type="uniqueValues" dxfId="0" priority="6"/>
  </conditionalFormatting>
  <pageMargins left="1.023611111111111" right="0.98402777777777772" top="0.86597222222222225" bottom="0.5" header="0" footer="0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workbookViewId="0">
      <selection activeCell="D32" sqref="D32"/>
    </sheetView>
  </sheetViews>
  <sheetFormatPr defaultRowHeight="14.25" x14ac:dyDescent="0.15"/>
  <sheetData>
    <row r="3" spans="2:4" x14ac:dyDescent="0.15">
      <c r="B3" s="1" t="s">
        <v>5</v>
      </c>
      <c r="C3" s="6"/>
      <c r="D3" s="6"/>
    </row>
    <row r="4" spans="2:4" ht="22.5" x14ac:dyDescent="0.15">
      <c r="B4" s="14" t="s">
        <v>8</v>
      </c>
      <c r="C4" s="13"/>
      <c r="D4" s="10" t="s">
        <v>9</v>
      </c>
    </row>
    <row r="5" spans="2:4" x14ac:dyDescent="0.15">
      <c r="B5" s="12">
        <v>2500</v>
      </c>
      <c r="C5" s="13" t="s">
        <v>6</v>
      </c>
      <c r="D5" s="11">
        <v>1</v>
      </c>
    </row>
    <row r="6" spans="2:4" x14ac:dyDescent="0.15">
      <c r="B6" s="12">
        <v>3000</v>
      </c>
      <c r="C6" s="13" t="s">
        <v>6</v>
      </c>
      <c r="D6" s="11">
        <v>0.9</v>
      </c>
    </row>
    <row r="7" spans="2:4" x14ac:dyDescent="0.15">
      <c r="B7" s="12">
        <v>4000</v>
      </c>
      <c r="C7" s="13" t="s">
        <v>6</v>
      </c>
      <c r="D7" s="11">
        <v>0.8</v>
      </c>
    </row>
    <row r="8" spans="2:4" x14ac:dyDescent="0.15">
      <c r="B8" s="12">
        <v>4000</v>
      </c>
      <c r="C8" s="13" t="s">
        <v>7</v>
      </c>
      <c r="D8" s="11">
        <v>0.7</v>
      </c>
    </row>
    <row r="9" spans="2:4" ht="18.75" x14ac:dyDescent="0.2">
      <c r="B9" s="2"/>
      <c r="C9" s="2"/>
      <c r="D9" s="2"/>
    </row>
  </sheetData>
  <phoneticPr fontId="6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5"/>
  <sheetViews>
    <sheetView view="pageBreakPreview" zoomScale="75" zoomScaleNormal="100" workbookViewId="0">
      <selection activeCell="K22" sqref="K22"/>
    </sheetView>
  </sheetViews>
  <sheetFormatPr defaultColWidth="7" defaultRowHeight="13.5" x14ac:dyDescent="0.15"/>
  <cols>
    <col min="1" max="1" width="3.875" style="42" customWidth="1"/>
    <col min="2" max="2" width="13.625" style="16" customWidth="1"/>
    <col min="3" max="3" width="15.5" style="17" customWidth="1"/>
    <col min="4" max="4" width="13.25" style="17" customWidth="1"/>
    <col min="5" max="6" width="17.25" style="17" customWidth="1"/>
    <col min="7" max="7" width="11.875" style="15" customWidth="1"/>
    <col min="8" max="16384" width="7" style="15"/>
  </cols>
  <sheetData>
    <row r="1" spans="1:7" ht="20.100000000000001" customHeight="1" thickBot="1" x14ac:dyDescent="0.25">
      <c r="A1" s="58" t="e">
        <f>#REF!</f>
        <v>#REF!</v>
      </c>
      <c r="F1" s="45" t="s">
        <v>32</v>
      </c>
      <c r="G1" s="51"/>
    </row>
    <row r="2" spans="1:7" ht="21.75" customHeight="1" x14ac:dyDescent="0.2">
      <c r="A2" s="58"/>
      <c r="B2" s="43"/>
      <c r="C2" s="43" t="s">
        <v>43</v>
      </c>
      <c r="G2" s="46"/>
    </row>
    <row r="3" spans="1:7" ht="20.100000000000001" customHeight="1" x14ac:dyDescent="0.15">
      <c r="A3" s="15"/>
      <c r="B3" s="44" t="s">
        <v>49</v>
      </c>
    </row>
    <row r="4" spans="1:7" ht="20.100000000000001" customHeight="1" x14ac:dyDescent="0.15">
      <c r="A4" s="15"/>
    </row>
    <row r="5" spans="1:7" s="19" customFormat="1" ht="67.5" x14ac:dyDescent="0.15">
      <c r="A5" s="18" t="s">
        <v>31</v>
      </c>
      <c r="B5" s="18" t="s">
        <v>10</v>
      </c>
      <c r="C5" s="34" t="s">
        <v>39</v>
      </c>
      <c r="D5" s="34" t="s">
        <v>38</v>
      </c>
      <c r="E5" s="34" t="s">
        <v>40</v>
      </c>
      <c r="F5" s="34" t="s">
        <v>51</v>
      </c>
      <c r="G5" s="18" t="s">
        <v>11</v>
      </c>
    </row>
    <row r="6" spans="1:7" s="19" customFormat="1" x14ac:dyDescent="0.15">
      <c r="A6" s="39">
        <v>1</v>
      </c>
      <c r="B6" s="20" t="s">
        <v>12</v>
      </c>
      <c r="C6" s="21" t="e">
        <f>#REF!</f>
        <v>#REF!</v>
      </c>
      <c r="D6" s="36">
        <v>5</v>
      </c>
      <c r="E6" s="21" t="e">
        <f>C6*D6</f>
        <v>#REF!</v>
      </c>
      <c r="F6" s="21" t="e">
        <f>ROUNDDOWN(E6*1.08,0)</f>
        <v>#REF!</v>
      </c>
      <c r="G6" s="22"/>
    </row>
    <row r="7" spans="1:7" s="19" customFormat="1" x14ac:dyDescent="0.15">
      <c r="A7" s="40">
        <v>2</v>
      </c>
      <c r="B7" s="23" t="s">
        <v>13</v>
      </c>
      <c r="C7" s="33" t="e">
        <f>#REF!</f>
        <v>#REF!</v>
      </c>
      <c r="D7" s="37">
        <v>5</v>
      </c>
      <c r="E7" s="25" t="e">
        <f t="shared" ref="E7:E24" si="0">C7*D7</f>
        <v>#REF!</v>
      </c>
      <c r="F7" s="21" t="e">
        <f t="shared" ref="F7:F25" si="1">ROUNDDOWN(E7*1.08,0)</f>
        <v>#REF!</v>
      </c>
      <c r="G7" s="26"/>
    </row>
    <row r="8" spans="1:7" s="19" customFormat="1" x14ac:dyDescent="0.15">
      <c r="A8" s="40">
        <v>3</v>
      </c>
      <c r="B8" s="23" t="s">
        <v>14</v>
      </c>
      <c r="C8" s="25" t="e">
        <f>#REF!</f>
        <v>#REF!</v>
      </c>
      <c r="D8" s="37">
        <v>5</v>
      </c>
      <c r="E8" s="25" t="e">
        <f t="shared" si="0"/>
        <v>#REF!</v>
      </c>
      <c r="F8" s="21" t="e">
        <f t="shared" si="1"/>
        <v>#REF!</v>
      </c>
      <c r="G8" s="26"/>
    </row>
    <row r="9" spans="1:7" s="19" customFormat="1" x14ac:dyDescent="0.15">
      <c r="A9" s="40">
        <v>4</v>
      </c>
      <c r="B9" s="23" t="s">
        <v>15</v>
      </c>
      <c r="C9" s="25" t="e">
        <f>#REF!</f>
        <v>#REF!</v>
      </c>
      <c r="D9" s="37">
        <v>5</v>
      </c>
      <c r="E9" s="25" t="e">
        <f t="shared" si="0"/>
        <v>#REF!</v>
      </c>
      <c r="F9" s="21" t="e">
        <f t="shared" si="1"/>
        <v>#REF!</v>
      </c>
      <c r="G9" s="27"/>
    </row>
    <row r="10" spans="1:7" s="19" customFormat="1" x14ac:dyDescent="0.15">
      <c r="A10" s="40">
        <v>5</v>
      </c>
      <c r="B10" s="23" t="s">
        <v>16</v>
      </c>
      <c r="C10" s="25" t="e">
        <f>#REF!</f>
        <v>#REF!</v>
      </c>
      <c r="D10" s="37">
        <v>5</v>
      </c>
      <c r="E10" s="25" t="e">
        <f t="shared" si="0"/>
        <v>#REF!</v>
      </c>
      <c r="F10" s="21" t="e">
        <f t="shared" si="1"/>
        <v>#REF!</v>
      </c>
      <c r="G10" s="26"/>
    </row>
    <row r="11" spans="1:7" s="19" customFormat="1" x14ac:dyDescent="0.15">
      <c r="A11" s="40">
        <v>6</v>
      </c>
      <c r="B11" s="23" t="s">
        <v>17</v>
      </c>
      <c r="C11" s="25" t="e">
        <f>#REF!</f>
        <v>#REF!</v>
      </c>
      <c r="D11" s="37">
        <v>5</v>
      </c>
      <c r="E11" s="25" t="e">
        <f t="shared" si="0"/>
        <v>#REF!</v>
      </c>
      <c r="F11" s="21" t="e">
        <f t="shared" si="1"/>
        <v>#REF!</v>
      </c>
      <c r="G11" s="26"/>
    </row>
    <row r="12" spans="1:7" s="19" customFormat="1" ht="30" customHeight="1" x14ac:dyDescent="0.15">
      <c r="A12" s="130">
        <v>7</v>
      </c>
      <c r="B12" s="131" t="s">
        <v>18</v>
      </c>
      <c r="C12" s="132" t="e">
        <f>#REF!</f>
        <v>#REF!</v>
      </c>
      <c r="D12" s="133">
        <v>5</v>
      </c>
      <c r="E12" s="132" t="e">
        <f t="shared" si="0"/>
        <v>#REF!</v>
      </c>
      <c r="F12" s="134" t="e">
        <f>ROUNDDOWN(E12*1.08,0)</f>
        <v>#REF!</v>
      </c>
      <c r="G12" s="26"/>
    </row>
    <row r="13" spans="1:7" s="19" customFormat="1" x14ac:dyDescent="0.15">
      <c r="A13" s="40"/>
      <c r="B13" s="23" t="s">
        <v>19</v>
      </c>
      <c r="C13" s="25"/>
      <c r="D13" s="37"/>
      <c r="E13" s="25">
        <f t="shared" si="0"/>
        <v>0</v>
      </c>
      <c r="F13" s="21">
        <f t="shared" si="1"/>
        <v>0</v>
      </c>
      <c r="G13" s="26"/>
    </row>
    <row r="14" spans="1:7" s="19" customFormat="1" x14ac:dyDescent="0.15">
      <c r="A14" s="40">
        <v>8</v>
      </c>
      <c r="B14" s="23" t="s">
        <v>20</v>
      </c>
      <c r="C14" s="25" t="e">
        <f>#REF!</f>
        <v>#REF!</v>
      </c>
      <c r="D14" s="37">
        <v>5</v>
      </c>
      <c r="E14" s="25" t="e">
        <f t="shared" si="0"/>
        <v>#REF!</v>
      </c>
      <c r="F14" s="21" t="e">
        <f t="shared" si="1"/>
        <v>#REF!</v>
      </c>
      <c r="G14" s="26"/>
    </row>
    <row r="15" spans="1:7" s="19" customFormat="1" x14ac:dyDescent="0.15">
      <c r="A15" s="40">
        <v>9</v>
      </c>
      <c r="B15" s="23" t="s">
        <v>36</v>
      </c>
      <c r="C15" s="25" t="e">
        <f>#REF!</f>
        <v>#REF!</v>
      </c>
      <c r="D15" s="37">
        <v>5</v>
      </c>
      <c r="E15" s="25" t="e">
        <f t="shared" si="0"/>
        <v>#REF!</v>
      </c>
      <c r="F15" s="21" t="e">
        <f t="shared" si="1"/>
        <v>#REF!</v>
      </c>
      <c r="G15" s="26"/>
    </row>
    <row r="16" spans="1:7" s="19" customFormat="1" x14ac:dyDescent="0.15">
      <c r="A16" s="40">
        <v>10</v>
      </c>
      <c r="B16" s="23" t="s">
        <v>21</v>
      </c>
      <c r="C16" s="25" t="e">
        <f>#REF!</f>
        <v>#REF!</v>
      </c>
      <c r="D16" s="37">
        <v>5</v>
      </c>
      <c r="E16" s="25" t="e">
        <f t="shared" si="0"/>
        <v>#REF!</v>
      </c>
      <c r="F16" s="21" t="e">
        <f t="shared" si="1"/>
        <v>#REF!</v>
      </c>
      <c r="G16" s="26"/>
    </row>
    <row r="17" spans="1:7" s="19" customFormat="1" x14ac:dyDescent="0.15">
      <c r="A17" s="40">
        <v>11</v>
      </c>
      <c r="B17" s="23" t="s">
        <v>22</v>
      </c>
      <c r="C17" s="25" t="e">
        <f>#REF!</f>
        <v>#REF!</v>
      </c>
      <c r="D17" s="37">
        <v>5</v>
      </c>
      <c r="E17" s="25" t="e">
        <f t="shared" si="0"/>
        <v>#REF!</v>
      </c>
      <c r="F17" s="21" t="e">
        <f t="shared" si="1"/>
        <v>#REF!</v>
      </c>
      <c r="G17" s="26"/>
    </row>
    <row r="18" spans="1:7" s="19" customFormat="1" x14ac:dyDescent="0.15">
      <c r="A18" s="40">
        <v>12</v>
      </c>
      <c r="B18" s="23" t="s">
        <v>23</v>
      </c>
      <c r="C18" s="25" t="e">
        <f>#REF!</f>
        <v>#REF!</v>
      </c>
      <c r="D18" s="37">
        <v>3</v>
      </c>
      <c r="E18" s="25" t="e">
        <f t="shared" si="0"/>
        <v>#REF!</v>
      </c>
      <c r="F18" s="21" t="e">
        <f t="shared" si="1"/>
        <v>#REF!</v>
      </c>
      <c r="G18" s="24"/>
    </row>
    <row r="19" spans="1:7" s="19" customFormat="1" x14ac:dyDescent="0.15">
      <c r="A19" s="40">
        <v>13</v>
      </c>
      <c r="B19" s="23" t="s">
        <v>24</v>
      </c>
      <c r="C19" s="25" t="e">
        <f>#REF!</f>
        <v>#REF!</v>
      </c>
      <c r="D19" s="37">
        <v>5</v>
      </c>
      <c r="E19" s="25" t="e">
        <f t="shared" si="0"/>
        <v>#REF!</v>
      </c>
      <c r="F19" s="21" t="e">
        <f t="shared" si="1"/>
        <v>#REF!</v>
      </c>
      <c r="G19" s="26"/>
    </row>
    <row r="20" spans="1:7" s="19" customFormat="1" ht="30" customHeight="1" x14ac:dyDescent="0.15">
      <c r="A20" s="130">
        <v>14</v>
      </c>
      <c r="B20" s="131" t="s">
        <v>25</v>
      </c>
      <c r="C20" s="132" t="e">
        <f>#REF!</f>
        <v>#REF!</v>
      </c>
      <c r="D20" s="133">
        <v>5</v>
      </c>
      <c r="E20" s="132" t="e">
        <f t="shared" si="0"/>
        <v>#REF!</v>
      </c>
      <c r="F20" s="134" t="e">
        <f t="shared" si="1"/>
        <v>#REF!</v>
      </c>
      <c r="G20" s="26"/>
    </row>
    <row r="21" spans="1:7" s="19" customFormat="1" x14ac:dyDescent="0.15">
      <c r="A21" s="40">
        <v>15</v>
      </c>
      <c r="B21" s="23" t="s">
        <v>26</v>
      </c>
      <c r="C21" s="25" t="e">
        <f>#REF!</f>
        <v>#REF!</v>
      </c>
      <c r="D21" s="37">
        <v>5</v>
      </c>
      <c r="E21" s="25" t="e">
        <f t="shared" si="0"/>
        <v>#REF!</v>
      </c>
      <c r="F21" s="21" t="e">
        <f t="shared" si="1"/>
        <v>#REF!</v>
      </c>
      <c r="G21" s="26"/>
    </row>
    <row r="22" spans="1:7" s="19" customFormat="1" ht="30" customHeight="1" x14ac:dyDescent="0.15">
      <c r="A22" s="130">
        <v>16</v>
      </c>
      <c r="B22" s="131" t="s">
        <v>27</v>
      </c>
      <c r="C22" s="132" t="e">
        <f>#REF!</f>
        <v>#REF!</v>
      </c>
      <c r="D22" s="133">
        <v>5</v>
      </c>
      <c r="E22" s="132" t="e">
        <f t="shared" si="0"/>
        <v>#REF!</v>
      </c>
      <c r="F22" s="134" t="e">
        <f t="shared" si="1"/>
        <v>#REF!</v>
      </c>
      <c r="G22" s="26"/>
    </row>
    <row r="23" spans="1:7" s="19" customFormat="1" x14ac:dyDescent="0.15">
      <c r="A23" s="40">
        <v>17</v>
      </c>
      <c r="B23" s="23" t="s">
        <v>28</v>
      </c>
      <c r="C23" s="25" t="e">
        <f>#REF!</f>
        <v>#REF!</v>
      </c>
      <c r="D23" s="37">
        <v>5</v>
      </c>
      <c r="E23" s="25" t="e">
        <f t="shared" si="0"/>
        <v>#REF!</v>
      </c>
      <c r="F23" s="21" t="e">
        <f t="shared" si="1"/>
        <v>#REF!</v>
      </c>
      <c r="G23" s="26"/>
    </row>
    <row r="24" spans="1:7" s="19" customFormat="1" x14ac:dyDescent="0.15">
      <c r="A24" s="56">
        <v>18</v>
      </c>
      <c r="B24" s="28" t="s">
        <v>29</v>
      </c>
      <c r="C24" s="29" t="e">
        <f>#REF!</f>
        <v>#REF!</v>
      </c>
      <c r="D24" s="38">
        <v>5</v>
      </c>
      <c r="E24" s="29" t="e">
        <f t="shared" si="0"/>
        <v>#REF!</v>
      </c>
      <c r="F24" s="21" t="e">
        <f t="shared" si="1"/>
        <v>#REF!</v>
      </c>
      <c r="G24" s="30"/>
    </row>
    <row r="25" spans="1:7" s="19" customFormat="1" x14ac:dyDescent="0.15">
      <c r="A25" s="41" t="s">
        <v>30</v>
      </c>
      <c r="B25" s="55" t="s">
        <v>44</v>
      </c>
      <c r="C25" s="31" t="e">
        <f>SUM(C6:C24)</f>
        <v>#REF!</v>
      </c>
      <c r="D25" s="35"/>
      <c r="E25" s="31" t="e">
        <f>SUM(E6:E24)</f>
        <v>#REF!</v>
      </c>
      <c r="F25" s="21" t="e">
        <f t="shared" si="1"/>
        <v>#REF!</v>
      </c>
      <c r="G25" s="32"/>
    </row>
  </sheetData>
  <phoneticPr fontId="6"/>
  <pageMargins left="0.70866141732283472" right="0.11811023622047245" top="1.023622047244094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積算書</vt:lpstr>
      <vt:lpstr>積算書 (田川)未修正</vt:lpstr>
      <vt:lpstr>積算書 (直方・飯塚)未修正</vt:lpstr>
      <vt:lpstr>別紙</vt:lpstr>
      <vt:lpstr>内訳</vt:lpstr>
      <vt:lpstr>歩掛</vt:lpstr>
      <vt:lpstr>設計書 長期契約換算</vt:lpstr>
      <vt:lpstr>積算書!Print_Area</vt:lpstr>
      <vt:lpstr>'積算書 (直方・飯塚)未修正'!Print_Area</vt:lpstr>
      <vt:lpstr>'積算書 (田川)未修正'!Print_Area</vt:lpstr>
      <vt:lpstr>'設計書 長期契約換算'!Print_Area</vt:lpstr>
      <vt:lpstr>内訳!Print_Area</vt:lpstr>
      <vt:lpstr>別紙!Print_Area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待鳥　綾子</dc:creator>
  <cp:lastModifiedBy>Windows ユーザー</cp:lastModifiedBy>
  <cp:lastPrinted>2022-01-14T04:13:28Z</cp:lastPrinted>
  <dcterms:created xsi:type="dcterms:W3CDTF">2007-08-13T06:13:40Z</dcterms:created>
  <dcterms:modified xsi:type="dcterms:W3CDTF">2022-01-14T04:15:11Z</dcterms:modified>
</cp:coreProperties>
</file>